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svg" ContentType="image/sv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3.xml" ContentType="application/vnd.openxmlformats-officedocument.drawing+xml"/>
  <Override PartName="/xl/charts/chart5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6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7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8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9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10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11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12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3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4.xml" ContentType="application/vnd.openxmlformats-officedocument.drawing+xml"/>
  <Override PartName="/xl/charts/chart14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5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6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7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8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9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20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21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22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5.xml" ContentType="application/vnd.openxmlformats-officedocument.drawing+xml"/>
  <Override PartName="/xl/charts/chart23.xml" ContentType="application/vnd.openxmlformats-officedocument.drawingml.chart+xml"/>
  <Override PartName="/xl/charts/chart24.xml" ContentType="application/vnd.openxmlformats-officedocument.drawingml.chart+xml"/>
  <Override PartName="/xl/charts/chart25.xml" ContentType="application/vnd.openxmlformats-officedocument.drawingml.chart+xml"/>
  <Override PartName="/xl/charts/chart26.xml" ContentType="application/vnd.openxmlformats-officedocument.drawingml.chart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9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30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31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32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drawings/drawing6.xml" ContentType="application/vnd.openxmlformats-officedocument.drawing+xml"/>
  <Override PartName="/xl/charts/chart33.xml" ContentType="application/vnd.openxmlformats-officedocument.drawingml.chart+xml"/>
  <Override PartName="/xl/drawings/drawing7.xml" ContentType="application/vnd.openxmlformats-officedocument.drawing+xml"/>
  <Override PartName="/xl/charts/chart34.xml" ContentType="application/vnd.openxmlformats-officedocument.drawingml.chart+xml"/>
  <Override PartName="/xl/charts/chart35.xml" ContentType="application/vnd.openxmlformats-officedocument.drawingml.chart+xml"/>
  <Override PartName="/xl/charts/chart36.xml" ContentType="application/vnd.openxmlformats-officedocument.drawingml.chart+xml"/>
  <Override PartName="/xl/charts/chart37.xml" ContentType="application/vnd.openxmlformats-officedocument.drawingml.chart+xml"/>
  <Override PartName="/xl/charts/chart38.xml" ContentType="application/vnd.openxmlformats-officedocument.drawingml.chart+xml"/>
  <Override PartName="/xl/charts/chart39.xml" ContentType="application/vnd.openxmlformats-officedocument.drawingml.chart+xml"/>
  <Override PartName="/xl/charts/chart40.xml" ContentType="application/vnd.openxmlformats-officedocument.drawingml.chart+xml"/>
  <Override PartName="/xl/charts/chart41.xml" ContentType="application/vnd.openxmlformats-officedocument.drawingml.chart+xml"/>
  <Override PartName="/xl/charts/chart42.xml" ContentType="application/vnd.openxmlformats-officedocument.drawingml.chart+xml"/>
  <Override PartName="/xl/charts/chart43.xml" ContentType="application/vnd.openxmlformats-officedocument.drawingml.chart+xml"/>
  <Override PartName="/xl/charts/chart44.xml" ContentType="application/vnd.openxmlformats-officedocument.drawingml.chart+xml"/>
  <Override PartName="/xl/charts/chart45.xml" ContentType="application/vnd.openxmlformats-officedocument.drawingml.chart+xml"/>
  <Override PartName="/xl/charts/chart46.xml" ContentType="application/vnd.openxmlformats-officedocument.drawingml.chart+xml"/>
  <Override PartName="/xl/drawings/drawing8.xml" ContentType="application/vnd.openxmlformats-officedocument.drawing+xml"/>
  <Override PartName="/xl/charts/chart47.xml" ContentType="application/vnd.openxmlformats-officedocument.drawingml.chart+xml"/>
  <Override PartName="/xl/charts/chart48.xml" ContentType="application/vnd.openxmlformats-officedocument.drawingml.chart+xml"/>
  <Override PartName="/xl/drawings/drawing9.xml" ContentType="application/vnd.openxmlformats-officedocument.drawing+xml"/>
  <Override PartName="/xl/charts/chart49.xml" ContentType="application/vnd.openxmlformats-officedocument.drawingml.chart+xml"/>
  <Override PartName="/xl/drawings/drawing10.xml" ContentType="application/vnd.openxmlformats-officedocument.drawing+xml"/>
  <Override PartName="/xl/charts/chart50.xml" ContentType="application/vnd.openxmlformats-officedocument.drawingml.chart+xml"/>
  <Override PartName="/xl/charts/chart51.xml" ContentType="application/vnd.openxmlformats-officedocument.drawingml.chart+xml"/>
  <Override PartName="/xl/charts/chart52.xml" ContentType="application/vnd.openxmlformats-officedocument.drawingml.chart+xml"/>
  <Override PartName="/xl/drawings/drawing11.xml" ContentType="application/vnd.openxmlformats-officedocument.drawing+xml"/>
  <Override PartName="/xl/charts/chart53.xml" ContentType="application/vnd.openxmlformats-officedocument.drawingml.chart+xml"/>
  <Override PartName="/xl/drawings/drawing12.xml" ContentType="application/vnd.openxmlformats-officedocument.drawing+xml"/>
  <Override PartName="/xl/charts/chart54.xml" ContentType="application/vnd.openxmlformats-officedocument.drawingml.chart+xml"/>
  <Override PartName="/xl/drawings/drawing13.xml" ContentType="application/vnd.openxmlformats-officedocument.drawing+xml"/>
  <Override PartName="/xl/charts/chart55.xml" ContentType="application/vnd.openxmlformats-officedocument.drawingml.chart+xml"/>
  <Override PartName="/xl/charts/chart56.xml" ContentType="application/vnd.openxmlformats-officedocument.drawingml.chart+xml"/>
  <Override PartName="/xl/drawings/drawing14.xml" ContentType="application/vnd.openxmlformats-officedocument.drawing+xml"/>
  <Override PartName="/xl/charts/chart57.xml" ContentType="application/vnd.openxmlformats-officedocument.drawingml.chart+xml"/>
  <Override PartName="/xl/charts/chart58.xml" ContentType="application/vnd.openxmlformats-officedocument.drawingml.chart+xml"/>
  <Override PartName="/xl/charts/chart59.xml" ContentType="application/vnd.openxmlformats-officedocument.drawingml.chart+xml"/>
  <Override PartName="/xl/charts/chart60.xml" ContentType="application/vnd.openxmlformats-officedocument.drawingml.chart+xml"/>
  <Override PartName="/xl/drawings/drawing15.xml" ContentType="application/vnd.openxmlformats-officedocument.drawing+xml"/>
  <Override PartName="/xl/charts/chart61.xml" ContentType="application/vnd.openxmlformats-officedocument.drawingml.chart+xml"/>
  <Override PartName="/xl/drawings/drawing16.xml" ContentType="application/vnd.openxmlformats-officedocument.drawing+xml"/>
  <Override PartName="/xl/charts/chart62.xml" ContentType="application/vnd.openxmlformats-officedocument.drawingml.chart+xml"/>
  <Override PartName="/xl/charts/chart63.xml" ContentType="application/vnd.openxmlformats-officedocument.drawingml.chart+xml"/>
  <Override PartName="/xl/charts/chart64.xml" ContentType="application/vnd.openxmlformats-officedocument.drawingml.chart+xml"/>
  <Override PartName="/xl/charts/chart65.xml" ContentType="application/vnd.openxmlformats-officedocument.drawingml.chart+xml"/>
  <Override PartName="/xl/charts/chart66.xml" ContentType="application/vnd.openxmlformats-officedocument.drawingml.chart+xml"/>
  <Override PartName="/xl/drawings/drawing17.xml" ContentType="application/vnd.openxmlformats-officedocument.drawing+xml"/>
  <Override PartName="/xl/charts/chart67.xml" ContentType="application/vnd.openxmlformats-officedocument.drawingml.chart+xml"/>
  <Override PartName="/xl/drawings/drawing18.xml" ContentType="application/vnd.openxmlformats-officedocument.drawing+xml"/>
  <Override PartName="/xl/charts/chart68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69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70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71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72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73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drawings/drawing19.xml" ContentType="application/vnd.openxmlformats-officedocument.drawing+xml"/>
  <Override PartName="/xl/charts/chart74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75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76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77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78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79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80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81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82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83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charts/chart84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charts/chart85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drawings/drawing20.xml" ContentType="application/vnd.openxmlformats-officedocument.drawing+xml"/>
  <Override PartName="/xl/charts/chart86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87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88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89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drawings/drawing21.xml" ContentType="application/vnd.openxmlformats-officedocument.drawing+xml"/>
  <Override PartName="/xl/charts/chart90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drawings/drawing22.xml" ContentType="application/vnd.openxmlformats-officedocument.drawing+xml"/>
  <Override PartName="/xl/charts/chart91.xml" ContentType="application/vnd.openxmlformats-officedocument.drawingml.chart+xml"/>
  <Override PartName="/xl/charts/chart92.xml" ContentType="application/vnd.openxmlformats-officedocument.drawingml.chart+xml"/>
  <Override PartName="/xl/drawings/drawing23.xml" ContentType="application/vnd.openxmlformats-officedocument.drawing+xml"/>
  <Override PartName="/xl/charts/chart93.xml" ContentType="application/vnd.openxmlformats-officedocument.drawingml.chart+xml"/>
  <Override PartName="/xl/charts/chart94.xml" ContentType="application/vnd.openxmlformats-officedocument.drawingml.chart+xml"/>
  <Override PartName="/xl/charts/chart95.xml" ContentType="application/vnd.openxmlformats-officedocument.drawingml.chart+xml"/>
  <Override PartName="/xl/charts/chart96.xml" ContentType="application/vnd.openxmlformats-officedocument.drawingml.chart+xml"/>
  <Override PartName="/xl/charts/chart97.xml" ContentType="application/vnd.openxmlformats-officedocument.drawingml.chart+xml"/>
  <Override PartName="/xl/charts/chart98.xml" ContentType="application/vnd.openxmlformats-officedocument.drawingml.chart+xml"/>
  <Override PartName="/xl/drawings/drawing24.xml" ContentType="application/vnd.openxmlformats-officedocument.drawing+xml"/>
  <Override PartName="/xl/charts/chart99.xml" ContentType="application/vnd.openxmlformats-officedocument.drawingml.chart+xml"/>
  <Override PartName="/xl/charts/chart100.xml" ContentType="application/vnd.openxmlformats-officedocument.drawingml.chart+xml"/>
  <Override PartName="/xl/charts/chart101.xml" ContentType="application/vnd.openxmlformats-officedocument.drawingml.chart+xml"/>
  <Override PartName="/xl/drawings/drawing25.xml" ContentType="application/vnd.openxmlformats-officedocument.drawing+xml"/>
  <Override PartName="/xl/charts/chart102.xml" ContentType="application/vnd.openxmlformats-officedocument.drawingml.chart+xml"/>
  <Override PartName="/xl/charts/chart103.xml" ContentType="application/vnd.openxmlformats-officedocument.drawingml.chart+xml"/>
  <Override PartName="/xl/charts/chart104.xml" ContentType="application/vnd.openxmlformats-officedocument.drawingml.chart+xml"/>
  <Override PartName="/xl/charts/chart105.xml" ContentType="application/vnd.openxmlformats-officedocument.drawingml.chart+xml"/>
  <Override PartName="/xl/drawings/drawing26.xml" ContentType="application/vnd.openxmlformats-officedocument.drawing+xml"/>
  <Override PartName="/xl/tables/table1.xml" ContentType="application/vnd.openxmlformats-officedocument.spreadsheetml.table+xml"/>
  <Override PartName="/xl/charts/chart106.xml" ContentType="application/vnd.openxmlformats-officedocument.drawingml.chart+xml"/>
  <Override PartName="/xl/charts/chart107.xml" ContentType="application/vnd.openxmlformats-officedocument.drawingml.chart+xml"/>
  <Override PartName="/xl/charts/chart108.xml" ContentType="application/vnd.openxmlformats-officedocument.drawingml.chart+xml"/>
  <Override PartName="/xl/charts/chart109.xml" ContentType="application/vnd.openxmlformats-officedocument.drawingml.chart+xml"/>
  <Override PartName="/xl/charts/chart110.xml" ContentType="application/vnd.openxmlformats-officedocument.drawingml.chart+xml"/>
  <Override PartName="/xl/charts/chart111.xml" ContentType="application/vnd.openxmlformats-officedocument.drawingml.chart+xml"/>
  <Override PartName="/xl/charts/chart112.xml" ContentType="application/vnd.openxmlformats-officedocument.drawingml.chart+xml"/>
  <Override PartName="/xl/charts/chart113.xml" ContentType="application/vnd.openxmlformats-officedocument.drawingml.chart+xml"/>
  <Override PartName="/xl/charts/chart114.xml" ContentType="application/vnd.openxmlformats-officedocument.drawingml.chart+xml"/>
  <Override PartName="/xl/charts/chart115.xml" ContentType="application/vnd.openxmlformats-officedocument.drawingml.chart+xml"/>
  <Override PartName="/xl/charts/chart116.xml" ContentType="application/vnd.openxmlformats-officedocument.drawingml.chart+xml"/>
  <Override PartName="/xl/charts/chart117.xml" ContentType="application/vnd.openxmlformats-officedocument.drawingml.chart+xml"/>
  <Override PartName="/xl/charts/chart118.xml" ContentType="application/vnd.openxmlformats-officedocument.drawingml.chart+xml"/>
  <Override PartName="/xl/drawings/drawing27.xml" ContentType="application/vnd.openxmlformats-officedocument.drawing+xml"/>
  <Override PartName="/xl/charts/chart119.xml" ContentType="application/vnd.openxmlformats-officedocument.drawingml.chart+xml"/>
  <Override PartName="/xl/charts/chart120.xml" ContentType="application/vnd.openxmlformats-officedocument.drawingml.chart+xml"/>
  <Override PartName="/xl/charts/chart121.xml" ContentType="application/vnd.openxmlformats-officedocument.drawingml.chart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78047\Desktop\"/>
    </mc:Choice>
  </mc:AlternateContent>
  <bookViews>
    <workbookView xWindow="0" yWindow="0" windowWidth="28800" windowHeight="12435" tabRatio="840" firstSheet="1" activeTab="3"/>
  </bookViews>
  <sheets>
    <sheet name="Таблица 1.1+ общее" sheetId="1" state="hidden" r:id="rId1"/>
    <sheet name="1.1 оперативные показатели" sheetId="2" r:id="rId2"/>
    <sheet name="1.2 Пожары" sheetId="16" r:id="rId3"/>
    <sheet name="1.3 Водные объекты" sheetId="22" r:id="rId4"/>
    <sheet name="1.4 дтп " sheetId="21" r:id="rId5"/>
    <sheet name="1.5 ЧС техноген" sheetId="23" r:id="rId6"/>
    <sheet name="1.6 ЧС техноген ФО" sheetId="24" r:id="rId7"/>
    <sheet name="1.7 ЧС природные" sheetId="25" r:id="rId8"/>
    <sheet name="1.8 ЧС природ ФО" sheetId="26" r:id="rId9"/>
    <sheet name="1.9 Биолог" sheetId="27" r:id="rId10"/>
    <sheet name="1.10 Заболевания людей" sheetId="18" r:id="rId11"/>
    <sheet name="Таблица 1.3+" sheetId="3" state="hidden" r:id="rId12"/>
    <sheet name="1,3 разделенная" sheetId="17" state="hidden" r:id="rId13"/>
    <sheet name="1.11 Эпизоотии" sheetId="19" r:id="rId14"/>
    <sheet name="1.12 Эпифитотии" sheetId="20" r:id="rId15"/>
    <sheet name="1.13 ЦУКС" sheetId="28" r:id="rId16"/>
    <sheet name="1.14 (1) СМИ " sheetId="29" r:id="rId17"/>
    <sheet name="1.14 (2) Обращения" sheetId="49" r:id="rId18"/>
    <sheet name="1.15 ПАСФ" sheetId="30" r:id="rId19"/>
    <sheet name="1.16 СВФ" sheetId="31" r:id="rId20"/>
    <sheet name="1.17 РПП" sheetId="32" r:id="rId21"/>
    <sheet name="1.18 ВГCЧ" sheetId="33" r:id="rId22"/>
    <sheet name="1.19 ПфВЧ" sheetId="34" r:id="rId23"/>
    <sheet name="1.20 СПО ФПС" sheetId="35" r:id="rId24"/>
    <sheet name="1.21 Психологи" sheetId="36" r:id="rId25"/>
    <sheet name="1.22 ДПО" sheetId="37" r:id="rId26"/>
    <sheet name="1.23 Надзор ЗНТЧС " sheetId="38" r:id="rId27"/>
    <sheet name="1.24 ГПН" sheetId="45" r:id="rId28"/>
    <sheet name="1.25 Лецензирование" sheetId="46" r:id="rId29"/>
    <sheet name="1.26 ГИМС" sheetId="47" r:id="rId30"/>
    <sheet name="1.27 ЧГР" sheetId="48" r:id="rId31"/>
    <sheet name="1.28 ГП ДНР ЛНР ХО ЗО" sheetId="39" r:id="rId32"/>
    <sheet name="1.29 авиац-е обесп-е" sheetId="40" r:id="rId33"/>
    <sheet name="1.30 БАС" sheetId="41" r:id="rId34"/>
    <sheet name="1.31 Показатель Риск" sheetId="42" r:id="rId35"/>
    <sheet name="1.32 Показатель ЗН от ЧС" sheetId="43" r:id="rId36"/>
    <sheet name="1.33 Сведения по ПОО" sheetId="44" r:id="rId37"/>
    <sheet name="Таблица 1.4+" sheetId="15" state="hidden" r:id="rId38"/>
  </sheets>
  <externalReferences>
    <externalReference r:id="rId39"/>
    <externalReference r:id="rId40"/>
    <externalReference r:id="rId41"/>
    <externalReference r:id="rId42"/>
  </externalReferences>
  <definedNames>
    <definedName name="_ftn1" localSheetId="0">'Таблица 1.1+ общее'!#REF!</definedName>
    <definedName name="_ftn2" localSheetId="0">'Таблица 1.1+ общее'!#REF!</definedName>
    <definedName name="_ftn3" localSheetId="0">'Таблица 1.1+ общее'!#REF!</definedName>
    <definedName name="_ftnref1" localSheetId="0">'Таблица 1.1+ общее'!#REF!</definedName>
    <definedName name="_ftnref2" localSheetId="0">'Таблица 1.1+ общее'!#REF!</definedName>
    <definedName name="_ftnref3" localSheetId="0">'Таблица 1.1+ общее'!#REF!</definedName>
    <definedName name="_xlcn.WorksheetConnection_Лист73A2B901" hidden="1">'[1]Лист7 (3)'!$A$2:$B$90</definedName>
  </definedNames>
  <calcPr calcId="152511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23" i="49" l="1"/>
  <c r="C22" i="49" s="1"/>
  <c r="C11" i="49"/>
  <c r="C7" i="49"/>
  <c r="C15" i="49" l="1"/>
  <c r="C19" i="49"/>
  <c r="C8" i="49"/>
  <c r="C12" i="49"/>
  <c r="C16" i="49"/>
  <c r="C20" i="49"/>
  <c r="C9" i="49"/>
  <c r="C13" i="49"/>
  <c r="C17" i="49"/>
  <c r="C21" i="49"/>
  <c r="C6" i="49"/>
  <c r="C23" i="49" s="1"/>
  <c r="C10" i="49"/>
  <c r="C14" i="49"/>
  <c r="C18" i="49"/>
  <c r="P55" i="25" l="1"/>
  <c r="N55" i="25" s="1"/>
  <c r="L55" i="25" s="1"/>
  <c r="J55" i="25" s="1"/>
  <c r="H55" i="25" s="1"/>
  <c r="F55" i="25" s="1"/>
  <c r="D55" i="25" s="1"/>
  <c r="O55" i="25"/>
  <c r="M55" i="25"/>
  <c r="K55" i="25" s="1"/>
  <c r="I55" i="25" s="1"/>
  <c r="G55" i="25" s="1"/>
  <c r="E55" i="25" s="1"/>
  <c r="C55" i="25" s="1"/>
  <c r="P54" i="25"/>
  <c r="N54" i="25" s="1"/>
  <c r="L54" i="25" s="1"/>
  <c r="J54" i="25" s="1"/>
  <c r="H54" i="25" s="1"/>
  <c r="F54" i="25" s="1"/>
  <c r="D54" i="25" s="1"/>
  <c r="O54" i="25"/>
  <c r="M54" i="25" s="1"/>
  <c r="K54" i="25" s="1"/>
  <c r="I54" i="25" s="1"/>
  <c r="G54" i="25" s="1"/>
  <c r="E54" i="25" s="1"/>
  <c r="C54" i="25" s="1"/>
  <c r="P53" i="25"/>
  <c r="N53" i="25" s="1"/>
  <c r="L53" i="25" s="1"/>
  <c r="J53" i="25" s="1"/>
  <c r="H53" i="25" s="1"/>
  <c r="F53" i="25" s="1"/>
  <c r="D53" i="25" s="1"/>
  <c r="O53" i="25"/>
  <c r="M53" i="25" s="1"/>
  <c r="K53" i="25" s="1"/>
  <c r="I53" i="25" s="1"/>
  <c r="G53" i="25" s="1"/>
  <c r="E53" i="25" s="1"/>
  <c r="C53" i="25" s="1"/>
  <c r="P52" i="25"/>
  <c r="O52" i="25"/>
  <c r="M52" i="25" s="1"/>
  <c r="K52" i="25" s="1"/>
  <c r="I52" i="25" s="1"/>
  <c r="G52" i="25" s="1"/>
  <c r="E52" i="25" s="1"/>
  <c r="C52" i="25" s="1"/>
  <c r="N52" i="25"/>
  <c r="L52" i="25" s="1"/>
  <c r="J52" i="25" s="1"/>
  <c r="H52" i="25" s="1"/>
  <c r="F52" i="25" s="1"/>
  <c r="D52" i="25" s="1"/>
  <c r="E10" i="48"/>
  <c r="D10" i="48"/>
  <c r="F47" i="47"/>
  <c r="F46" i="47"/>
  <c r="F45" i="47"/>
  <c r="F32" i="47"/>
  <c r="F31" i="47"/>
  <c r="F30" i="47"/>
  <c r="F21" i="47"/>
  <c r="F20" i="47"/>
  <c r="F19" i="47"/>
  <c r="F18" i="47"/>
  <c r="F17" i="47"/>
  <c r="F6" i="47"/>
  <c r="F5" i="47"/>
  <c r="AB16" i="46"/>
  <c r="AA16" i="46"/>
  <c r="Z16" i="46"/>
  <c r="Y16" i="46"/>
  <c r="D32" i="45"/>
  <c r="C32" i="45"/>
  <c r="L96" i="16" l="1"/>
  <c r="K96" i="16"/>
  <c r="J96" i="16"/>
  <c r="I96" i="16"/>
  <c r="H96" i="16"/>
  <c r="G96" i="16"/>
  <c r="F96" i="16"/>
  <c r="E96" i="16"/>
  <c r="D96" i="16"/>
  <c r="C96" i="16"/>
  <c r="H186" i="19" l="1"/>
  <c r="G186" i="19"/>
  <c r="F186" i="19"/>
  <c r="E186" i="19"/>
  <c r="D186" i="19"/>
  <c r="C186" i="19"/>
  <c r="G100" i="42"/>
  <c r="E100" i="42"/>
  <c r="G99" i="42"/>
  <c r="E99" i="42"/>
  <c r="G98" i="42"/>
  <c r="E98" i="42"/>
  <c r="G97" i="42"/>
  <c r="E97" i="42"/>
  <c r="B96" i="42"/>
  <c r="E96" i="42"/>
  <c r="C97" i="26"/>
  <c r="D98" i="24"/>
  <c r="K96" i="21"/>
  <c r="J96" i="21"/>
  <c r="I96" i="21"/>
  <c r="H96" i="21"/>
  <c r="G96" i="21"/>
  <c r="F96" i="21"/>
  <c r="E96" i="21"/>
  <c r="D96" i="21"/>
  <c r="J96" i="22"/>
  <c r="I96" i="22"/>
  <c r="H96" i="22"/>
  <c r="G96" i="22"/>
  <c r="F96" i="22"/>
  <c r="E96" i="22"/>
  <c r="D96" i="22"/>
  <c r="C96" i="22"/>
  <c r="B3" i="42" l="1"/>
  <c r="C3" i="42"/>
  <c r="E3" i="42" s="1"/>
  <c r="D3" i="42"/>
  <c r="J3" i="42"/>
  <c r="E4" i="42"/>
  <c r="F4" i="42" s="1"/>
  <c r="G4" i="42"/>
  <c r="E5" i="42"/>
  <c r="F5" i="42" s="1"/>
  <c r="G5" i="42"/>
  <c r="E6" i="42"/>
  <c r="F6" i="42"/>
  <c r="G6" i="42"/>
  <c r="E7" i="42"/>
  <c r="F7" i="42" s="1"/>
  <c r="G7" i="42"/>
  <c r="E8" i="42"/>
  <c r="F8" i="42" s="1"/>
  <c r="G8" i="42"/>
  <c r="E9" i="42"/>
  <c r="F9" i="42" s="1"/>
  <c r="G9" i="42"/>
  <c r="E10" i="42"/>
  <c r="F10" i="42"/>
  <c r="G10" i="42"/>
  <c r="E11" i="42"/>
  <c r="F11" i="42" s="1"/>
  <c r="G11" i="42"/>
  <c r="E12" i="42"/>
  <c r="F12" i="42" s="1"/>
  <c r="G12" i="42"/>
  <c r="E13" i="42"/>
  <c r="F13" i="42" s="1"/>
  <c r="G13" i="42"/>
  <c r="E14" i="42"/>
  <c r="F14" i="42"/>
  <c r="G14" i="42"/>
  <c r="B15" i="42"/>
  <c r="C15" i="42"/>
  <c r="D15" i="42"/>
  <c r="E15" i="42" s="1"/>
  <c r="F15" i="42" s="1"/>
  <c r="J15" i="42"/>
  <c r="E16" i="42"/>
  <c r="F16" i="42" s="1"/>
  <c r="G16" i="42"/>
  <c r="E17" i="42"/>
  <c r="F17" i="42" s="1"/>
  <c r="G17" i="42"/>
  <c r="E18" i="42"/>
  <c r="F18" i="42"/>
  <c r="G18" i="42"/>
  <c r="E19" i="42"/>
  <c r="F19" i="42" s="1"/>
  <c r="G19" i="42"/>
  <c r="E20" i="42"/>
  <c r="F20" i="42" s="1"/>
  <c r="G20" i="42"/>
  <c r="E21" i="42"/>
  <c r="F21" i="42" s="1"/>
  <c r="G21" i="42"/>
  <c r="E22" i="42"/>
  <c r="F22" i="42"/>
  <c r="G22" i="42"/>
  <c r="E23" i="42"/>
  <c r="F23" i="42" s="1"/>
  <c r="G23" i="42"/>
  <c r="E24" i="42"/>
  <c r="F24" i="42" s="1"/>
  <c r="G24" i="42"/>
  <c r="E25" i="42"/>
  <c r="F25" i="42" s="1"/>
  <c r="G25" i="42"/>
  <c r="B26" i="42"/>
  <c r="C26" i="42"/>
  <c r="D26" i="42"/>
  <c r="J26" i="42"/>
  <c r="E27" i="42"/>
  <c r="F27" i="42" s="1"/>
  <c r="G27" i="42"/>
  <c r="E28" i="42"/>
  <c r="F28" i="42"/>
  <c r="G28" i="42"/>
  <c r="E29" i="42"/>
  <c r="F29" i="42" s="1"/>
  <c r="G29" i="42"/>
  <c r="E30" i="42"/>
  <c r="F30" i="42" s="1"/>
  <c r="G30" i="42"/>
  <c r="E31" i="42"/>
  <c r="F31" i="42" s="1"/>
  <c r="G31" i="42"/>
  <c r="E32" i="42"/>
  <c r="F32" i="42"/>
  <c r="G32" i="42"/>
  <c r="B33" i="42"/>
  <c r="C33" i="42"/>
  <c r="D33" i="42"/>
  <c r="E33" i="42" s="1"/>
  <c r="F33" i="42" s="1"/>
  <c r="J33" i="42"/>
  <c r="E34" i="42"/>
  <c r="F34" i="42" s="1"/>
  <c r="G34" i="42"/>
  <c r="E35" i="42"/>
  <c r="F35" i="42" s="1"/>
  <c r="G35" i="42"/>
  <c r="E36" i="42"/>
  <c r="F36" i="42"/>
  <c r="G36" i="42"/>
  <c r="E37" i="42"/>
  <c r="F37" i="42" s="1"/>
  <c r="G37" i="42"/>
  <c r="E38" i="42"/>
  <c r="F38" i="42" s="1"/>
  <c r="G38" i="42"/>
  <c r="E39" i="42"/>
  <c r="F39" i="42" s="1"/>
  <c r="G39" i="42"/>
  <c r="E40" i="42"/>
  <c r="F40" i="42"/>
  <c r="G40" i="42"/>
  <c r="E41" i="42"/>
  <c r="F41" i="42" s="1"/>
  <c r="G41" i="42"/>
  <c r="E42" i="42"/>
  <c r="F42" i="42" s="1"/>
  <c r="G42" i="42"/>
  <c r="E43" i="42"/>
  <c r="F43" i="42" s="1"/>
  <c r="G43" i="42"/>
  <c r="E44" i="42"/>
  <c r="F44" i="42"/>
  <c r="G44" i="42"/>
  <c r="E45" i="42"/>
  <c r="F45" i="42" s="1"/>
  <c r="G45" i="42"/>
  <c r="E46" i="42"/>
  <c r="F46" i="42" s="1"/>
  <c r="G46" i="42"/>
  <c r="E47" i="42"/>
  <c r="F47" i="42" s="1"/>
  <c r="G47" i="42"/>
  <c r="B48" i="42"/>
  <c r="C48" i="42"/>
  <c r="D48" i="42"/>
  <c r="J48" i="42"/>
  <c r="E49" i="42"/>
  <c r="F49" i="42" s="1"/>
  <c r="G49" i="42"/>
  <c r="E50" i="42"/>
  <c r="F50" i="42"/>
  <c r="G50" i="42"/>
  <c r="E51" i="42"/>
  <c r="F51" i="42" s="1"/>
  <c r="G51" i="42"/>
  <c r="E52" i="42"/>
  <c r="F52" i="42" s="1"/>
  <c r="G52" i="42"/>
  <c r="E53" i="42"/>
  <c r="F53" i="42" s="1"/>
  <c r="G53" i="42"/>
  <c r="E54" i="42"/>
  <c r="F54" i="42"/>
  <c r="G54" i="42"/>
  <c r="E55" i="42"/>
  <c r="F55" i="42" s="1"/>
  <c r="G55" i="42"/>
  <c r="E56" i="42"/>
  <c r="F56" i="42" s="1"/>
  <c r="G56" i="42"/>
  <c r="B57" i="42"/>
  <c r="C57" i="42"/>
  <c r="D57" i="42"/>
  <c r="J57" i="42"/>
  <c r="E58" i="42"/>
  <c r="F58" i="42"/>
  <c r="G58" i="42"/>
  <c r="E59" i="42"/>
  <c r="F59" i="42" s="1"/>
  <c r="G59" i="42"/>
  <c r="E60" i="42"/>
  <c r="F60" i="42" s="1"/>
  <c r="G60" i="42"/>
  <c r="E61" i="42"/>
  <c r="F61" i="42" s="1"/>
  <c r="G61" i="42"/>
  <c r="E62" i="42"/>
  <c r="F62" i="42" s="1"/>
  <c r="G62" i="42"/>
  <c r="E63" i="42"/>
  <c r="F63" i="42" s="1"/>
  <c r="G63" i="42"/>
  <c r="E64" i="42"/>
  <c r="F64" i="42" s="1"/>
  <c r="G64" i="42"/>
  <c r="B65" i="42"/>
  <c r="C65" i="42"/>
  <c r="E65" i="42" s="1"/>
  <c r="D65" i="42"/>
  <c r="J65" i="42"/>
  <c r="J101" i="42" s="1"/>
  <c r="E66" i="42"/>
  <c r="F66" i="42" s="1"/>
  <c r="G66" i="42"/>
  <c r="E67" i="42"/>
  <c r="F67" i="42" s="1"/>
  <c r="G67" i="42"/>
  <c r="E68" i="42"/>
  <c r="F68" i="42"/>
  <c r="G68" i="42"/>
  <c r="E69" i="42"/>
  <c r="F69" i="42" s="1"/>
  <c r="G69" i="42"/>
  <c r="E70" i="42"/>
  <c r="F70" i="42" s="1"/>
  <c r="G70" i="42"/>
  <c r="E71" i="42"/>
  <c r="F71" i="42" s="1"/>
  <c r="G71" i="42"/>
  <c r="E72" i="42"/>
  <c r="F72" i="42" s="1"/>
  <c r="G72" i="42"/>
  <c r="E73" i="42"/>
  <c r="F73" i="42" s="1"/>
  <c r="G73" i="42"/>
  <c r="E74" i="42"/>
  <c r="F74" i="42" s="1"/>
  <c r="G74" i="42"/>
  <c r="E75" i="42"/>
  <c r="F75" i="42" s="1"/>
  <c r="G75" i="42"/>
  <c r="E76" i="42"/>
  <c r="F76" i="42"/>
  <c r="G76" i="42"/>
  <c r="B77" i="42"/>
  <c r="B101" i="42" s="1"/>
  <c r="C77" i="42"/>
  <c r="D77" i="42"/>
  <c r="E77" i="42" s="1"/>
  <c r="F77" i="42" s="1"/>
  <c r="J77" i="42"/>
  <c r="E78" i="42"/>
  <c r="F78" i="42" s="1"/>
  <c r="G78" i="42"/>
  <c r="E79" i="42"/>
  <c r="F79" i="42" s="1"/>
  <c r="G79" i="42"/>
  <c r="E80" i="42"/>
  <c r="F80" i="42" s="1"/>
  <c r="G80" i="42"/>
  <c r="E81" i="42"/>
  <c r="F81" i="42" s="1"/>
  <c r="G81" i="42"/>
  <c r="E82" i="42"/>
  <c r="F82" i="42" s="1"/>
  <c r="G82" i="42"/>
  <c r="E83" i="42"/>
  <c r="F83" i="42"/>
  <c r="G83" i="42"/>
  <c r="E84" i="42"/>
  <c r="F84" i="42" s="1"/>
  <c r="G84" i="42"/>
  <c r="E85" i="42"/>
  <c r="F85" i="42" s="1"/>
  <c r="G85" i="42"/>
  <c r="E86" i="42"/>
  <c r="F86" i="42" s="1"/>
  <c r="G86" i="42"/>
  <c r="E87" i="42"/>
  <c r="F87" i="42" s="1"/>
  <c r="G87" i="42"/>
  <c r="E88" i="42"/>
  <c r="F88" i="42" s="1"/>
  <c r="G88" i="42"/>
  <c r="E89" i="42"/>
  <c r="F89" i="42" s="1"/>
  <c r="G89" i="42"/>
  <c r="E90" i="42"/>
  <c r="F90" i="42" s="1"/>
  <c r="G90" i="42"/>
  <c r="E91" i="42"/>
  <c r="F91" i="42"/>
  <c r="G91" i="42"/>
  <c r="E92" i="42"/>
  <c r="F92" i="42" s="1"/>
  <c r="G92" i="42"/>
  <c r="E93" i="42"/>
  <c r="F93" i="42" s="1"/>
  <c r="G93" i="42"/>
  <c r="E94" i="42"/>
  <c r="F94" i="42" s="1"/>
  <c r="G94" i="42"/>
  <c r="E95" i="42"/>
  <c r="F95" i="42" s="1"/>
  <c r="G95" i="42"/>
  <c r="G101" i="42"/>
  <c r="N101" i="42"/>
  <c r="N102" i="42"/>
  <c r="N103" i="42"/>
  <c r="N104" i="42"/>
  <c r="C23" i="41"/>
  <c r="D23" i="41"/>
  <c r="C38" i="41"/>
  <c r="D38" i="41"/>
  <c r="F65" i="42" l="1"/>
  <c r="E57" i="42"/>
  <c r="F57" i="42" s="1"/>
  <c r="E26" i="42"/>
  <c r="F26" i="42" s="1"/>
  <c r="F3" i="42"/>
  <c r="E48" i="42"/>
  <c r="F48" i="42" s="1"/>
  <c r="L102" i="42"/>
  <c r="L103" i="42"/>
  <c r="L104" i="42"/>
  <c r="L101" i="42"/>
  <c r="E101" i="42"/>
  <c r="F101" i="42" s="1"/>
  <c r="C10" i="32"/>
  <c r="D10" i="32"/>
  <c r="C10" i="31"/>
  <c r="D10" i="31"/>
  <c r="C10" i="30"/>
  <c r="D10" i="30"/>
  <c r="B8" i="29"/>
  <c r="C7" i="29" s="1"/>
  <c r="O8" i="29"/>
  <c r="R7" i="29" s="1"/>
  <c r="P8" i="29"/>
  <c r="S7" i="29" s="1"/>
  <c r="Q8" i="29"/>
  <c r="T6" i="29" s="1"/>
  <c r="B22" i="29"/>
  <c r="C18" i="29" s="1"/>
  <c r="C22" i="29" s="1"/>
  <c r="B31" i="29"/>
  <c r="C28" i="29" s="1"/>
  <c r="C31" i="29" s="1"/>
  <c r="B41" i="29"/>
  <c r="C38" i="29" s="1"/>
  <c r="C41" i="29" s="1"/>
  <c r="B57" i="29"/>
  <c r="C54" i="29" s="1"/>
  <c r="B71" i="29"/>
  <c r="C68" i="29" s="1"/>
  <c r="B85" i="29"/>
  <c r="C82" i="29" s="1"/>
  <c r="B99" i="29"/>
  <c r="C96" i="29" s="1"/>
  <c r="C81" i="29" l="1"/>
  <c r="C51" i="29"/>
  <c r="C94" i="29"/>
  <c r="C80" i="29"/>
  <c r="C93" i="29"/>
  <c r="C47" i="29"/>
  <c r="C57" i="29" s="1"/>
  <c r="T7" i="29"/>
  <c r="C89" i="29"/>
  <c r="C99" i="29" s="1"/>
  <c r="C79" i="29"/>
  <c r="C66" i="29"/>
  <c r="C53" i="29"/>
  <c r="S6" i="29"/>
  <c r="C61" i="29"/>
  <c r="C71" i="29" s="1"/>
  <c r="C67" i="29"/>
  <c r="C95" i="29"/>
  <c r="C75" i="29"/>
  <c r="C85" i="29" s="1"/>
  <c r="C65" i="29"/>
  <c r="C52" i="29"/>
  <c r="R6" i="29"/>
  <c r="C30" i="29"/>
  <c r="C6" i="29"/>
  <c r="C78" i="29"/>
  <c r="C64" i="29"/>
  <c r="C50" i="29"/>
  <c r="C29" i="29"/>
  <c r="T5" i="29"/>
  <c r="T8" i="29" s="1"/>
  <c r="C92" i="29"/>
  <c r="C91" i="29"/>
  <c r="C77" i="29"/>
  <c r="C63" i="29"/>
  <c r="C49" i="29"/>
  <c r="S5" i="29"/>
  <c r="S8" i="29" s="1"/>
  <c r="C90" i="29"/>
  <c r="C76" i="29"/>
  <c r="C62" i="29"/>
  <c r="C48" i="29"/>
  <c r="R5" i="29"/>
  <c r="R8" i="29" s="1"/>
  <c r="C21" i="29"/>
  <c r="C20" i="29"/>
  <c r="C5" i="29"/>
  <c r="C8" i="29" s="1"/>
  <c r="C84" i="29"/>
  <c r="C70" i="29"/>
  <c r="C40" i="29"/>
  <c r="C19" i="29"/>
  <c r="C97" i="29"/>
  <c r="C83" i="29"/>
  <c r="C69" i="29"/>
  <c r="C55" i="29"/>
  <c r="C39" i="29"/>
  <c r="C98" i="29"/>
  <c r="C56" i="29"/>
  <c r="O8" i="27"/>
  <c r="N8" i="27"/>
  <c r="M8" i="27"/>
  <c r="L8" i="27"/>
  <c r="K8" i="27"/>
  <c r="J8" i="27"/>
  <c r="I8" i="27"/>
  <c r="H8" i="27"/>
  <c r="G8" i="27"/>
  <c r="F8" i="27"/>
  <c r="E8" i="27"/>
  <c r="D8" i="27"/>
  <c r="C7" i="27"/>
  <c r="B7" i="27"/>
  <c r="C6" i="27"/>
  <c r="B6" i="27"/>
  <c r="C5" i="27"/>
  <c r="B5" i="27"/>
  <c r="B8" i="27" l="1"/>
  <c r="C8" i="27"/>
  <c r="D212" i="19"/>
  <c r="E212" i="19"/>
  <c r="F212" i="19"/>
  <c r="G212" i="19"/>
  <c r="H212" i="19"/>
  <c r="C212" i="19"/>
  <c r="C4" i="19"/>
  <c r="C30" i="19"/>
  <c r="C56" i="19"/>
  <c r="C82" i="19"/>
  <c r="C108" i="19"/>
  <c r="C160" i="19"/>
  <c r="D160" i="19"/>
  <c r="E160" i="19"/>
  <c r="F160" i="19"/>
  <c r="G160" i="19"/>
  <c r="H160" i="19"/>
  <c r="D134" i="19"/>
  <c r="E134" i="19"/>
  <c r="F134" i="19"/>
  <c r="G134" i="19"/>
  <c r="H134" i="19"/>
  <c r="C134" i="19"/>
  <c r="D108" i="19"/>
  <c r="E108" i="19"/>
  <c r="F108" i="19"/>
  <c r="G108" i="19"/>
  <c r="H108" i="19"/>
  <c r="D82" i="19"/>
  <c r="E82" i="19"/>
  <c r="F82" i="19"/>
  <c r="G82" i="19"/>
  <c r="H82" i="19"/>
  <c r="D56" i="19"/>
  <c r="E56" i="19"/>
  <c r="F56" i="19"/>
  <c r="G56" i="19"/>
  <c r="H56" i="19"/>
  <c r="D30" i="19"/>
  <c r="E30" i="19"/>
  <c r="F30" i="19"/>
  <c r="G30" i="19"/>
  <c r="H30" i="19"/>
  <c r="D4" i="19"/>
  <c r="E4" i="19"/>
  <c r="F4" i="19"/>
  <c r="G4" i="19"/>
  <c r="H4" i="19"/>
  <c r="C42" i="18"/>
  <c r="D43" i="18"/>
  <c r="E43" i="18"/>
  <c r="F43" i="18"/>
  <c r="G43" i="18"/>
  <c r="H43" i="18"/>
  <c r="I43" i="18"/>
  <c r="J43" i="18"/>
  <c r="C43" i="18"/>
  <c r="D42" i="18"/>
  <c r="D41" i="18"/>
  <c r="D40" i="18"/>
  <c r="B78" i="26"/>
  <c r="B66" i="26"/>
  <c r="B58" i="26"/>
  <c r="B49" i="26"/>
  <c r="C34" i="26"/>
  <c r="B34" i="26"/>
  <c r="B27" i="26"/>
  <c r="B16" i="26"/>
  <c r="C4" i="26"/>
  <c r="B4" i="26"/>
  <c r="D77" i="2"/>
  <c r="E77" i="2"/>
  <c r="F77" i="2"/>
  <c r="G77" i="2"/>
  <c r="H77" i="2"/>
  <c r="I77" i="2"/>
  <c r="D65" i="2"/>
  <c r="E65" i="2"/>
  <c r="F65" i="2"/>
  <c r="G65" i="2"/>
  <c r="H65" i="2"/>
  <c r="I65" i="2"/>
  <c r="D57" i="2"/>
  <c r="E57" i="2"/>
  <c r="F57" i="2"/>
  <c r="G57" i="2"/>
  <c r="H57" i="2"/>
  <c r="I57" i="2"/>
  <c r="D48" i="2"/>
  <c r="E48" i="2"/>
  <c r="F48" i="2"/>
  <c r="G48" i="2"/>
  <c r="H48" i="2"/>
  <c r="I48" i="2"/>
  <c r="D33" i="2"/>
  <c r="E33" i="2"/>
  <c r="F33" i="2"/>
  <c r="G33" i="2"/>
  <c r="H33" i="2"/>
  <c r="I33" i="2"/>
  <c r="D26" i="2"/>
  <c r="E26" i="2"/>
  <c r="F26" i="2"/>
  <c r="G26" i="2"/>
  <c r="H26" i="2"/>
  <c r="I26" i="2"/>
  <c r="D15" i="2"/>
  <c r="E15" i="2"/>
  <c r="F15" i="2"/>
  <c r="G15" i="2"/>
  <c r="H15" i="2"/>
  <c r="I15" i="2"/>
  <c r="I3" i="2"/>
  <c r="D3" i="2"/>
  <c r="E3" i="2"/>
  <c r="F3" i="2"/>
  <c r="G3" i="2"/>
  <c r="H3" i="2"/>
  <c r="C3" i="2"/>
  <c r="C16" i="26"/>
  <c r="C27" i="26"/>
  <c r="C49" i="26"/>
  <c r="C58" i="26"/>
  <c r="C66" i="26"/>
  <c r="C78" i="26"/>
  <c r="E44" i="25"/>
  <c r="F44" i="25"/>
  <c r="G44" i="25"/>
  <c r="H44" i="25"/>
  <c r="I44" i="25"/>
  <c r="J44" i="25"/>
  <c r="K44" i="25"/>
  <c r="L44" i="25"/>
  <c r="M44" i="25"/>
  <c r="N44" i="25"/>
  <c r="O44" i="25"/>
  <c r="P44" i="25"/>
  <c r="E37" i="25"/>
  <c r="F37" i="25"/>
  <c r="G37" i="25"/>
  <c r="H37" i="25"/>
  <c r="I37" i="25"/>
  <c r="J37" i="25"/>
  <c r="K37" i="25"/>
  <c r="L37" i="25"/>
  <c r="M37" i="25"/>
  <c r="N37" i="25"/>
  <c r="O37" i="25"/>
  <c r="P37" i="25"/>
  <c r="E9" i="25"/>
  <c r="F9" i="25"/>
  <c r="G9" i="25"/>
  <c r="H9" i="25"/>
  <c r="I9" i="25"/>
  <c r="J9" i="25"/>
  <c r="K9" i="25"/>
  <c r="L9" i="25"/>
  <c r="M9" i="25"/>
  <c r="N9" i="25"/>
  <c r="O9" i="25"/>
  <c r="P9" i="25"/>
  <c r="E14" i="25"/>
  <c r="F14" i="25"/>
  <c r="G14" i="25"/>
  <c r="H14" i="25"/>
  <c r="I14" i="25"/>
  <c r="J14" i="25"/>
  <c r="K14" i="25"/>
  <c r="L14" i="25"/>
  <c r="M14" i="25"/>
  <c r="N14" i="25"/>
  <c r="O14" i="25"/>
  <c r="P14" i="25"/>
  <c r="E238" i="19" l="1"/>
  <c r="D238" i="19"/>
  <c r="C238" i="19"/>
  <c r="H238" i="19"/>
  <c r="G238" i="19"/>
  <c r="F238" i="19"/>
  <c r="B102" i="26"/>
  <c r="C102" i="26"/>
  <c r="E39" i="23" l="1"/>
  <c r="E41" i="23" s="1"/>
  <c r="F39" i="23"/>
  <c r="F41" i="23" s="1"/>
  <c r="G39" i="23"/>
  <c r="H39" i="23"/>
  <c r="H41" i="23" s="1"/>
  <c r="I39" i="23"/>
  <c r="I41" i="23" s="1"/>
  <c r="J39" i="23"/>
  <c r="J41" i="23" s="1"/>
  <c r="K39" i="23"/>
  <c r="L39" i="23"/>
  <c r="L41" i="23" s="1"/>
  <c r="M39" i="23"/>
  <c r="M41" i="23" s="1"/>
  <c r="N39" i="23"/>
  <c r="N41" i="23" s="1"/>
  <c r="O39" i="23"/>
  <c r="P39" i="23"/>
  <c r="P41" i="23" s="1"/>
  <c r="E37" i="23"/>
  <c r="F37" i="23"/>
  <c r="G37" i="23"/>
  <c r="H37" i="23"/>
  <c r="I37" i="23"/>
  <c r="J37" i="23"/>
  <c r="K37" i="23"/>
  <c r="L37" i="23"/>
  <c r="M37" i="23"/>
  <c r="N37" i="23"/>
  <c r="O37" i="23"/>
  <c r="O41" i="23" s="1"/>
  <c r="P37" i="23"/>
  <c r="E33" i="23"/>
  <c r="F33" i="23"/>
  <c r="G33" i="23"/>
  <c r="H33" i="23"/>
  <c r="I33" i="23"/>
  <c r="J33" i="23"/>
  <c r="K33" i="23"/>
  <c r="L33" i="23"/>
  <c r="M33" i="23"/>
  <c r="N33" i="23"/>
  <c r="O33" i="23"/>
  <c r="P33" i="23"/>
  <c r="E31" i="23"/>
  <c r="F31" i="23"/>
  <c r="G31" i="23"/>
  <c r="G41" i="23" s="1"/>
  <c r="H31" i="23"/>
  <c r="I31" i="23"/>
  <c r="J31" i="23"/>
  <c r="K31" i="23"/>
  <c r="K41" i="23" s="1"/>
  <c r="L31" i="23"/>
  <c r="M31" i="23"/>
  <c r="N31" i="23"/>
  <c r="O31" i="23"/>
  <c r="P31" i="23"/>
  <c r="E27" i="23"/>
  <c r="F27" i="23"/>
  <c r="G27" i="23"/>
  <c r="H27" i="23"/>
  <c r="I27" i="23"/>
  <c r="J27" i="23"/>
  <c r="K27" i="23"/>
  <c r="L27" i="23"/>
  <c r="M27" i="23"/>
  <c r="N27" i="23"/>
  <c r="O27" i="23"/>
  <c r="P27" i="23"/>
  <c r="E23" i="23"/>
  <c r="F23" i="23"/>
  <c r="G23" i="23"/>
  <c r="H23" i="23"/>
  <c r="I23" i="23"/>
  <c r="J23" i="23"/>
  <c r="K23" i="23"/>
  <c r="L23" i="23"/>
  <c r="M23" i="23"/>
  <c r="N23" i="23"/>
  <c r="O23" i="23"/>
  <c r="P23" i="23"/>
  <c r="E15" i="23"/>
  <c r="F15" i="23"/>
  <c r="G15" i="23"/>
  <c r="H15" i="23"/>
  <c r="I15" i="23"/>
  <c r="J15" i="23"/>
  <c r="K15" i="23"/>
  <c r="L15" i="23"/>
  <c r="M15" i="23"/>
  <c r="N15" i="23"/>
  <c r="O15" i="23"/>
  <c r="P15" i="23"/>
  <c r="E6" i="23"/>
  <c r="F6" i="23"/>
  <c r="G6" i="23"/>
  <c r="H6" i="23"/>
  <c r="I6" i="23"/>
  <c r="J6" i="23"/>
  <c r="K6" i="23"/>
  <c r="L6" i="23"/>
  <c r="M6" i="23"/>
  <c r="N6" i="23"/>
  <c r="O6" i="23"/>
  <c r="P6" i="23"/>
  <c r="P47" i="25"/>
  <c r="O47" i="25"/>
  <c r="N47" i="25"/>
  <c r="M47" i="25"/>
  <c r="L47" i="25"/>
  <c r="K47" i="25"/>
  <c r="J47" i="25"/>
  <c r="I47" i="25"/>
  <c r="H47" i="25"/>
  <c r="G47" i="25"/>
  <c r="F47" i="25"/>
  <c r="E47" i="25"/>
  <c r="P32" i="25"/>
  <c r="O32" i="25"/>
  <c r="N32" i="25"/>
  <c r="M32" i="25"/>
  <c r="L32" i="25"/>
  <c r="K32" i="25"/>
  <c r="J32" i="25"/>
  <c r="I32" i="25"/>
  <c r="H32" i="25"/>
  <c r="G32" i="25"/>
  <c r="F32" i="25"/>
  <c r="E32" i="25"/>
  <c r="E6" i="25"/>
  <c r="F6" i="25"/>
  <c r="G6" i="25"/>
  <c r="H6" i="25"/>
  <c r="I6" i="25"/>
  <c r="J6" i="25"/>
  <c r="K6" i="25"/>
  <c r="L6" i="25"/>
  <c r="M6" i="25"/>
  <c r="N6" i="25"/>
  <c r="O6" i="25"/>
  <c r="P6" i="25"/>
  <c r="D51" i="25"/>
  <c r="C51" i="25"/>
  <c r="D50" i="25"/>
  <c r="C50" i="25"/>
  <c r="D49" i="25"/>
  <c r="C49" i="25"/>
  <c r="D48" i="25"/>
  <c r="C48" i="25"/>
  <c r="C47" i="25" s="1"/>
  <c r="D46" i="25"/>
  <c r="C46" i="25"/>
  <c r="D45" i="25"/>
  <c r="D44" i="25" s="1"/>
  <c r="C45" i="25"/>
  <c r="C44" i="25" s="1"/>
  <c r="D43" i="25"/>
  <c r="C43" i="25"/>
  <c r="D42" i="25"/>
  <c r="C42" i="25"/>
  <c r="D41" i="25"/>
  <c r="C41" i="25"/>
  <c r="D40" i="25"/>
  <c r="C40" i="25"/>
  <c r="D39" i="25"/>
  <c r="C39" i="25"/>
  <c r="D38" i="25"/>
  <c r="D37" i="25" s="1"/>
  <c r="C38" i="25"/>
  <c r="C37" i="25" s="1"/>
  <c r="D36" i="25"/>
  <c r="C36" i="25"/>
  <c r="D35" i="25"/>
  <c r="C35" i="25"/>
  <c r="D34" i="25"/>
  <c r="C34" i="25"/>
  <c r="D33" i="25"/>
  <c r="D32" i="25" s="1"/>
  <c r="C33" i="25"/>
  <c r="C32" i="25" s="1"/>
  <c r="D31" i="25"/>
  <c r="C31" i="25"/>
  <c r="D30" i="25"/>
  <c r="C30" i="25"/>
  <c r="D29" i="25"/>
  <c r="C29" i="25"/>
  <c r="D28" i="25"/>
  <c r="C28" i="25"/>
  <c r="D27" i="25"/>
  <c r="C27" i="25"/>
  <c r="D26" i="25"/>
  <c r="C26" i="25"/>
  <c r="D25" i="25"/>
  <c r="C25" i="25"/>
  <c r="D24" i="25"/>
  <c r="C24" i="25"/>
  <c r="D23" i="25"/>
  <c r="C23" i="25"/>
  <c r="D22" i="25"/>
  <c r="C22" i="25"/>
  <c r="D21" i="25"/>
  <c r="C21" i="25"/>
  <c r="D20" i="25"/>
  <c r="C20" i="25"/>
  <c r="D19" i="25"/>
  <c r="C19" i="25"/>
  <c r="D18" i="25"/>
  <c r="C18" i="25"/>
  <c r="D17" i="25"/>
  <c r="C17" i="25"/>
  <c r="D16" i="25"/>
  <c r="C16" i="25"/>
  <c r="D15" i="25"/>
  <c r="C15" i="25"/>
  <c r="D13" i="25"/>
  <c r="C13" i="25"/>
  <c r="D12" i="25"/>
  <c r="C12" i="25"/>
  <c r="D11" i="25"/>
  <c r="C11" i="25"/>
  <c r="D10" i="25"/>
  <c r="C10" i="25"/>
  <c r="D8" i="25"/>
  <c r="C8" i="25"/>
  <c r="D7" i="25"/>
  <c r="C7" i="25"/>
  <c r="D5" i="24"/>
  <c r="D79" i="24"/>
  <c r="D67" i="24"/>
  <c r="D59" i="24"/>
  <c r="D50" i="24"/>
  <c r="D35" i="24"/>
  <c r="D28" i="24"/>
  <c r="D17" i="24"/>
  <c r="C79" i="24"/>
  <c r="C67" i="24"/>
  <c r="C59" i="24"/>
  <c r="C50" i="24"/>
  <c r="C35" i="24"/>
  <c r="C28" i="24"/>
  <c r="C17" i="24"/>
  <c r="C5" i="24"/>
  <c r="M56" i="25" l="1"/>
  <c r="F56" i="25"/>
  <c r="J56" i="25"/>
  <c r="N56" i="25"/>
  <c r="E56" i="25"/>
  <c r="G56" i="25"/>
  <c r="K56" i="25"/>
  <c r="O56" i="25"/>
  <c r="I56" i="25"/>
  <c r="H56" i="25"/>
  <c r="L56" i="25"/>
  <c r="P56" i="25"/>
  <c r="D6" i="25"/>
  <c r="C6" i="25"/>
  <c r="C9" i="25"/>
  <c r="C14" i="25"/>
  <c r="C56" i="25" s="1"/>
  <c r="D47" i="25"/>
  <c r="C103" i="24"/>
  <c r="D9" i="25"/>
  <c r="D14" i="25"/>
  <c r="D103" i="24"/>
  <c r="D40" i="23"/>
  <c r="D39" i="23" s="1"/>
  <c r="C40" i="23"/>
  <c r="C39" i="23" s="1"/>
  <c r="D38" i="23"/>
  <c r="D37" i="23" s="1"/>
  <c r="C38" i="23"/>
  <c r="C37" i="23" s="1"/>
  <c r="D36" i="23"/>
  <c r="C36" i="23"/>
  <c r="D35" i="23"/>
  <c r="C35" i="23"/>
  <c r="D34" i="23"/>
  <c r="C34" i="23"/>
  <c r="D32" i="23"/>
  <c r="D31" i="23" s="1"/>
  <c r="C32" i="23"/>
  <c r="C31" i="23" s="1"/>
  <c r="D30" i="23"/>
  <c r="C30" i="23"/>
  <c r="D29" i="23"/>
  <c r="C29" i="23"/>
  <c r="D28" i="23"/>
  <c r="C28" i="23"/>
  <c r="D26" i="23"/>
  <c r="C26" i="23"/>
  <c r="D25" i="23"/>
  <c r="C25" i="23"/>
  <c r="D24" i="23"/>
  <c r="D23" i="23" s="1"/>
  <c r="C24" i="23"/>
  <c r="C23" i="23" s="1"/>
  <c r="D22" i="23"/>
  <c r="C22" i="23"/>
  <c r="D21" i="23"/>
  <c r="C21" i="23"/>
  <c r="D20" i="23"/>
  <c r="C20" i="23"/>
  <c r="D19" i="23"/>
  <c r="C19" i="23"/>
  <c r="D18" i="23"/>
  <c r="C18" i="23"/>
  <c r="D17" i="23"/>
  <c r="C17" i="23"/>
  <c r="D16" i="23"/>
  <c r="C16" i="23"/>
  <c r="D14" i="23"/>
  <c r="C14" i="23"/>
  <c r="D13" i="23"/>
  <c r="C13" i="23"/>
  <c r="D12" i="23"/>
  <c r="C12" i="23"/>
  <c r="D11" i="23"/>
  <c r="C11" i="23"/>
  <c r="D10" i="23"/>
  <c r="C10" i="23"/>
  <c r="D9" i="23"/>
  <c r="C9" i="23"/>
  <c r="D8" i="23"/>
  <c r="C8" i="23"/>
  <c r="D7" i="23"/>
  <c r="C7" i="23"/>
  <c r="J77" i="22"/>
  <c r="I77" i="22"/>
  <c r="H77" i="22"/>
  <c r="G77" i="22"/>
  <c r="F77" i="22"/>
  <c r="E77" i="22"/>
  <c r="D77" i="22"/>
  <c r="C77" i="22"/>
  <c r="J65" i="22"/>
  <c r="I65" i="22"/>
  <c r="H65" i="22"/>
  <c r="G65" i="22"/>
  <c r="F65" i="22"/>
  <c r="E65" i="22"/>
  <c r="D65" i="22"/>
  <c r="C65" i="22"/>
  <c r="J57" i="22"/>
  <c r="I57" i="22"/>
  <c r="H57" i="22"/>
  <c r="G57" i="22"/>
  <c r="F57" i="22"/>
  <c r="E57" i="22"/>
  <c r="D57" i="22"/>
  <c r="C57" i="22"/>
  <c r="J48" i="22"/>
  <c r="I48" i="22"/>
  <c r="H48" i="22"/>
  <c r="G48" i="22"/>
  <c r="F48" i="22"/>
  <c r="E48" i="22"/>
  <c r="D48" i="22"/>
  <c r="C48" i="22"/>
  <c r="J33" i="22"/>
  <c r="I33" i="22"/>
  <c r="H33" i="22"/>
  <c r="G33" i="22"/>
  <c r="F33" i="22"/>
  <c r="E33" i="22"/>
  <c r="D33" i="22"/>
  <c r="C33" i="22"/>
  <c r="J26" i="22"/>
  <c r="I26" i="22"/>
  <c r="H26" i="22"/>
  <c r="G26" i="22"/>
  <c r="F26" i="22"/>
  <c r="E26" i="22"/>
  <c r="D26" i="22"/>
  <c r="C26" i="22"/>
  <c r="J15" i="22"/>
  <c r="I15" i="22"/>
  <c r="H15" i="22"/>
  <c r="G15" i="22"/>
  <c r="F15" i="22"/>
  <c r="E15" i="22"/>
  <c r="D15" i="22"/>
  <c r="C15" i="22"/>
  <c r="J3" i="22"/>
  <c r="J101" i="22" s="1"/>
  <c r="I3" i="22"/>
  <c r="I101" i="22" s="1"/>
  <c r="H3" i="22"/>
  <c r="H101" i="22" s="1"/>
  <c r="G3" i="22"/>
  <c r="G101" i="22" s="1"/>
  <c r="F3" i="22"/>
  <c r="E3" i="22"/>
  <c r="E101" i="22" s="1"/>
  <c r="D3" i="22"/>
  <c r="D101" i="22" s="1"/>
  <c r="C3" i="22"/>
  <c r="G3" i="16"/>
  <c r="E23" i="20"/>
  <c r="Q3" i="16"/>
  <c r="R3" i="16"/>
  <c r="R101" i="16" s="1"/>
  <c r="S3" i="16"/>
  <c r="T3" i="16"/>
  <c r="U3" i="16"/>
  <c r="V3" i="16"/>
  <c r="W3" i="16"/>
  <c r="D3" i="16"/>
  <c r="E3" i="16"/>
  <c r="F3" i="16"/>
  <c r="H3" i="16"/>
  <c r="I3" i="16"/>
  <c r="J3" i="16"/>
  <c r="K3" i="16"/>
  <c r="L3" i="16"/>
  <c r="E3" i="21"/>
  <c r="F3" i="21"/>
  <c r="G3" i="21"/>
  <c r="H3" i="21"/>
  <c r="I3" i="21"/>
  <c r="J3" i="21"/>
  <c r="J101" i="21" s="1"/>
  <c r="K3" i="21"/>
  <c r="K101" i="21" s="1"/>
  <c r="K77" i="21"/>
  <c r="J77" i="21"/>
  <c r="I77" i="21"/>
  <c r="H77" i="21"/>
  <c r="G77" i="21"/>
  <c r="F77" i="21"/>
  <c r="E77" i="21"/>
  <c r="D77" i="21"/>
  <c r="K65" i="21"/>
  <c r="J65" i="21"/>
  <c r="I65" i="21"/>
  <c r="H65" i="21"/>
  <c r="G65" i="21"/>
  <c r="F65" i="21"/>
  <c r="E65" i="21"/>
  <c r="D65" i="21"/>
  <c r="K57" i="21"/>
  <c r="J57" i="21"/>
  <c r="I57" i="21"/>
  <c r="H57" i="21"/>
  <c r="G57" i="21"/>
  <c r="F57" i="21"/>
  <c r="E57" i="21"/>
  <c r="D57" i="21"/>
  <c r="K48" i="21"/>
  <c r="J48" i="21"/>
  <c r="I48" i="21"/>
  <c r="H48" i="21"/>
  <c r="G48" i="21"/>
  <c r="F48" i="21"/>
  <c r="E48" i="21"/>
  <c r="D48" i="21"/>
  <c r="K33" i="21"/>
  <c r="J33" i="21"/>
  <c r="I33" i="21"/>
  <c r="H33" i="21"/>
  <c r="G33" i="21"/>
  <c r="F33" i="21"/>
  <c r="E33" i="21"/>
  <c r="D33" i="21"/>
  <c r="K26" i="21"/>
  <c r="J26" i="21"/>
  <c r="I26" i="21"/>
  <c r="H26" i="21"/>
  <c r="G26" i="21"/>
  <c r="F26" i="21"/>
  <c r="E26" i="21"/>
  <c r="D26" i="21"/>
  <c r="K15" i="21"/>
  <c r="J15" i="21"/>
  <c r="I15" i="21"/>
  <c r="H15" i="21"/>
  <c r="G15" i="21"/>
  <c r="F15" i="21"/>
  <c r="E15" i="21"/>
  <c r="D15" i="21"/>
  <c r="D3" i="21"/>
  <c r="W77" i="16"/>
  <c r="V77" i="16"/>
  <c r="U77" i="16"/>
  <c r="T77" i="16"/>
  <c r="S77" i="16"/>
  <c r="R77" i="16"/>
  <c r="Q77" i="16"/>
  <c r="P77" i="16"/>
  <c r="W65" i="16"/>
  <c r="V65" i="16"/>
  <c r="U65" i="16"/>
  <c r="T65" i="16"/>
  <c r="S65" i="16"/>
  <c r="R65" i="16"/>
  <c r="Q65" i="16"/>
  <c r="P65" i="16"/>
  <c r="W57" i="16"/>
  <c r="V57" i="16"/>
  <c r="U57" i="16"/>
  <c r="T57" i="16"/>
  <c r="S57" i="16"/>
  <c r="R57" i="16"/>
  <c r="Q57" i="16"/>
  <c r="P57" i="16"/>
  <c r="W48" i="16"/>
  <c r="V48" i="16"/>
  <c r="U48" i="16"/>
  <c r="T48" i="16"/>
  <c r="S48" i="16"/>
  <c r="R48" i="16"/>
  <c r="Q48" i="16"/>
  <c r="P48" i="16"/>
  <c r="W33" i="16"/>
  <c r="V33" i="16"/>
  <c r="U33" i="16"/>
  <c r="T33" i="16"/>
  <c r="S33" i="16"/>
  <c r="R33" i="16"/>
  <c r="Q33" i="16"/>
  <c r="P33" i="16"/>
  <c r="W26" i="16"/>
  <c r="V26" i="16"/>
  <c r="U26" i="16"/>
  <c r="T26" i="16"/>
  <c r="S26" i="16"/>
  <c r="R26" i="16"/>
  <c r="Q26" i="16"/>
  <c r="P26" i="16"/>
  <c r="W15" i="16"/>
  <c r="V15" i="16"/>
  <c r="U15" i="16"/>
  <c r="T15" i="16"/>
  <c r="S15" i="16"/>
  <c r="R15" i="16"/>
  <c r="Q15" i="16"/>
  <c r="P15" i="16"/>
  <c r="P3" i="16"/>
  <c r="P101" i="16" s="1"/>
  <c r="C15" i="16"/>
  <c r="D90" i="15"/>
  <c r="D91" i="15"/>
  <c r="D45" i="15"/>
  <c r="D46" i="15"/>
  <c r="D47" i="15"/>
  <c r="D48" i="15"/>
  <c r="D50" i="15"/>
  <c r="D51" i="15"/>
  <c r="D52" i="15"/>
  <c r="D53" i="15"/>
  <c r="D54" i="15"/>
  <c r="D55" i="15"/>
  <c r="D56" i="15"/>
  <c r="D57" i="15"/>
  <c r="D58" i="15"/>
  <c r="D59" i="15"/>
  <c r="D60" i="15"/>
  <c r="D61" i="15"/>
  <c r="D62" i="15"/>
  <c r="D63" i="15"/>
  <c r="D64" i="15"/>
  <c r="D65" i="15"/>
  <c r="D66" i="15"/>
  <c r="D68" i="15"/>
  <c r="D69" i="15"/>
  <c r="D70" i="15"/>
  <c r="D71" i="15"/>
  <c r="D73" i="15"/>
  <c r="D74" i="15"/>
  <c r="D75" i="15"/>
  <c r="D76" i="15"/>
  <c r="D77" i="15"/>
  <c r="D78" i="15"/>
  <c r="D80" i="15"/>
  <c r="D81" i="15"/>
  <c r="D83" i="15"/>
  <c r="D84" i="15"/>
  <c r="D85" i="15"/>
  <c r="D86" i="15"/>
  <c r="D42" i="15"/>
  <c r="D43" i="15"/>
  <c r="D5" i="15"/>
  <c r="D6" i="15"/>
  <c r="D7" i="15"/>
  <c r="D8" i="15"/>
  <c r="D9" i="15"/>
  <c r="D10" i="15"/>
  <c r="D11" i="15"/>
  <c r="D12" i="15"/>
  <c r="D14" i="15"/>
  <c r="D15" i="15"/>
  <c r="D16" i="15"/>
  <c r="D17" i="15"/>
  <c r="D18" i="15"/>
  <c r="D19" i="15"/>
  <c r="D20" i="15"/>
  <c r="D22" i="15"/>
  <c r="D23" i="15"/>
  <c r="D24" i="15"/>
  <c r="D26" i="15"/>
  <c r="D27" i="15"/>
  <c r="D28" i="15"/>
  <c r="D30" i="15"/>
  <c r="D32" i="15"/>
  <c r="D33" i="15"/>
  <c r="D34" i="15"/>
  <c r="D36" i="15"/>
  <c r="D38" i="15"/>
  <c r="F23" i="20"/>
  <c r="D23" i="20"/>
  <c r="C23" i="20"/>
  <c r="F21" i="20"/>
  <c r="E21" i="20"/>
  <c r="D21" i="20"/>
  <c r="C21" i="20"/>
  <c r="J42" i="18"/>
  <c r="I42" i="18"/>
  <c r="H42" i="18"/>
  <c r="G42" i="18"/>
  <c r="F42" i="18"/>
  <c r="E42" i="18"/>
  <c r="J41" i="18"/>
  <c r="I41" i="18"/>
  <c r="H41" i="18"/>
  <c r="G41" i="18"/>
  <c r="F41" i="18"/>
  <c r="E41" i="18"/>
  <c r="C41" i="18"/>
  <c r="J40" i="18"/>
  <c r="I40" i="18"/>
  <c r="H40" i="18"/>
  <c r="G40" i="18"/>
  <c r="G44" i="18" s="1"/>
  <c r="F40" i="18"/>
  <c r="E40" i="18"/>
  <c r="D44" i="18"/>
  <c r="C40" i="18"/>
  <c r="C44" i="18" s="1"/>
  <c r="D56" i="25" l="1"/>
  <c r="E44" i="18"/>
  <c r="I44" i="18"/>
  <c r="D101" i="21"/>
  <c r="H101" i="21"/>
  <c r="V101" i="16"/>
  <c r="T101" i="16"/>
  <c r="W101" i="16"/>
  <c r="S101" i="16"/>
  <c r="U101" i="16"/>
  <c r="Q101" i="16"/>
  <c r="F44" i="18"/>
  <c r="J44" i="18"/>
  <c r="G101" i="21"/>
  <c r="F101" i="21"/>
  <c r="C6" i="23"/>
  <c r="C15" i="23"/>
  <c r="C27" i="23"/>
  <c r="C33" i="23"/>
  <c r="C41" i="23"/>
  <c r="H44" i="18"/>
  <c r="I101" i="21"/>
  <c r="E101" i="21"/>
  <c r="D6" i="23"/>
  <c r="D15" i="23"/>
  <c r="D27" i="23"/>
  <c r="D33" i="23"/>
  <c r="D41" i="23"/>
  <c r="C101" i="22"/>
  <c r="F101" i="22"/>
  <c r="AT8" i="17"/>
  <c r="AS8" i="17"/>
  <c r="AQ8" i="17"/>
  <c r="AP8" i="17"/>
  <c r="AN8" i="17"/>
  <c r="AM8" i="17"/>
  <c r="AK8" i="17"/>
  <c r="AJ8" i="17"/>
  <c r="AX7" i="17"/>
  <c r="AW7" i="17"/>
  <c r="AV7" i="17"/>
  <c r="AL7" i="17"/>
  <c r="AX6" i="17"/>
  <c r="AW6" i="17"/>
  <c r="AV6" i="17"/>
  <c r="AR6" i="17"/>
  <c r="AL6" i="17"/>
  <c r="AX5" i="17"/>
  <c r="AW5" i="17"/>
  <c r="AV5" i="17"/>
  <c r="AR5" i="17"/>
  <c r="AL5" i="17"/>
  <c r="AG50" i="17"/>
  <c r="AF50" i="17"/>
  <c r="AE50" i="17"/>
  <c r="AG49" i="17"/>
  <c r="AF49" i="17"/>
  <c r="AE49" i="17"/>
  <c r="AG48" i="17"/>
  <c r="AF48" i="17"/>
  <c r="AE48" i="17"/>
  <c r="AG47" i="17"/>
  <c r="AF47" i="17"/>
  <c r="AE47" i="17"/>
  <c r="AC46" i="17"/>
  <c r="AB46" i="17"/>
  <c r="Z46" i="17"/>
  <c r="Y46" i="17"/>
  <c r="W46" i="17"/>
  <c r="AF46" i="17" s="1"/>
  <c r="V46" i="17"/>
  <c r="T46" i="17"/>
  <c r="S46" i="17"/>
  <c r="AG45" i="17"/>
  <c r="AF45" i="17"/>
  <c r="AE45" i="17"/>
  <c r="AG44" i="17"/>
  <c r="AF44" i="17"/>
  <c r="AE44" i="17"/>
  <c r="AD44" i="17"/>
  <c r="AA44" i="17"/>
  <c r="X44" i="17"/>
  <c r="U44" i="17"/>
  <c r="AG43" i="17"/>
  <c r="AC43" i="17"/>
  <c r="AB43" i="17"/>
  <c r="Z43" i="17"/>
  <c r="AA43" i="17" s="1"/>
  <c r="Y43" i="17"/>
  <c r="W43" i="17"/>
  <c r="AF43" i="17" s="1"/>
  <c r="V43" i="17"/>
  <c r="X43" i="17" s="1"/>
  <c r="T43" i="17"/>
  <c r="S43" i="17"/>
  <c r="AG42" i="17"/>
  <c r="AF42" i="17"/>
  <c r="AE42" i="17"/>
  <c r="AG41" i="17"/>
  <c r="AF41" i="17"/>
  <c r="AE41" i="17"/>
  <c r="AG40" i="17"/>
  <c r="AF40" i="17"/>
  <c r="AE40" i="17"/>
  <c r="AG39" i="17"/>
  <c r="AF39" i="17"/>
  <c r="AE39" i="17"/>
  <c r="AG38" i="17"/>
  <c r="AF38" i="17"/>
  <c r="AE38" i="17"/>
  <c r="AG37" i="17"/>
  <c r="AF37" i="17"/>
  <c r="AE37" i="17"/>
  <c r="AD37" i="17"/>
  <c r="AA37" i="17"/>
  <c r="X37" i="17"/>
  <c r="U37" i="17"/>
  <c r="AC36" i="17"/>
  <c r="AB36" i="17"/>
  <c r="Z36" i="17"/>
  <c r="Y36" i="17"/>
  <c r="AA36" i="17" s="1"/>
  <c r="W36" i="17"/>
  <c r="V36" i="17"/>
  <c r="T36" i="17"/>
  <c r="U36" i="17" s="1"/>
  <c r="S36" i="17"/>
  <c r="AG35" i="17"/>
  <c r="AF35" i="17"/>
  <c r="AE35" i="17"/>
  <c r="AG34" i="17"/>
  <c r="AF34" i="17"/>
  <c r="AE34" i="17"/>
  <c r="AG33" i="17"/>
  <c r="AF33" i="17"/>
  <c r="AE33" i="17"/>
  <c r="AG32" i="17"/>
  <c r="AF32" i="17"/>
  <c r="AE32" i="17"/>
  <c r="AC31" i="17"/>
  <c r="AG31" i="17" s="1"/>
  <c r="AB31" i="17"/>
  <c r="Z31" i="17"/>
  <c r="Y31" i="17"/>
  <c r="W31" i="17"/>
  <c r="AF31" i="17" s="1"/>
  <c r="V31" i="17"/>
  <c r="T31" i="17"/>
  <c r="AE31" i="17" s="1"/>
  <c r="S31" i="17"/>
  <c r="AG30" i="17"/>
  <c r="AF30" i="17"/>
  <c r="AE30" i="17"/>
  <c r="AG29" i="17"/>
  <c r="AF29" i="17"/>
  <c r="AE29" i="17"/>
  <c r="AA29" i="17"/>
  <c r="X29" i="17"/>
  <c r="U29" i="17"/>
  <c r="AG28" i="17"/>
  <c r="AF28" i="17"/>
  <c r="AE28" i="17"/>
  <c r="U28" i="17"/>
  <c r="AG27" i="17"/>
  <c r="AF27" i="17"/>
  <c r="AE27" i="17"/>
  <c r="U27" i="17"/>
  <c r="AG26" i="17"/>
  <c r="AF26" i="17"/>
  <c r="AE26" i="17"/>
  <c r="U26" i="17"/>
  <c r="AG25" i="17"/>
  <c r="AF25" i="17"/>
  <c r="AE25" i="17"/>
  <c r="AG24" i="17"/>
  <c r="AF24" i="17"/>
  <c r="AE24" i="17"/>
  <c r="AG23" i="17"/>
  <c r="AF23" i="17"/>
  <c r="AE23" i="17"/>
  <c r="AG22" i="17"/>
  <c r="AF22" i="17"/>
  <c r="AE22" i="17"/>
  <c r="AG21" i="17"/>
  <c r="AF21" i="17"/>
  <c r="AE21" i="17"/>
  <c r="U21" i="17"/>
  <c r="AG20" i="17"/>
  <c r="AF20" i="17"/>
  <c r="AE20" i="17"/>
  <c r="AG19" i="17"/>
  <c r="AF19" i="17"/>
  <c r="AE19" i="17"/>
  <c r="AG18" i="17"/>
  <c r="AF18" i="17"/>
  <c r="AE18" i="17"/>
  <c r="AG17" i="17"/>
  <c r="AF17" i="17"/>
  <c r="AE17" i="17"/>
  <c r="AG16" i="17"/>
  <c r="AF16" i="17"/>
  <c r="AE16" i="17"/>
  <c r="AG15" i="17"/>
  <c r="AF15" i="17"/>
  <c r="AE15" i="17"/>
  <c r="AA15" i="17"/>
  <c r="X15" i="17"/>
  <c r="U15" i="17"/>
  <c r="AG14" i="17"/>
  <c r="AF14" i="17"/>
  <c r="AE14" i="17"/>
  <c r="AA14" i="17"/>
  <c r="X14" i="17"/>
  <c r="U14" i="17"/>
  <c r="AC13" i="17"/>
  <c r="AG13" i="17" s="1"/>
  <c r="AB13" i="17"/>
  <c r="Z13" i="17"/>
  <c r="AA13" i="17" s="1"/>
  <c r="Y13" i="17"/>
  <c r="W13" i="17"/>
  <c r="AF13" i="17" s="1"/>
  <c r="V13" i="17"/>
  <c r="T13" i="17"/>
  <c r="AE13" i="17" s="1"/>
  <c r="S13" i="17"/>
  <c r="AG12" i="17"/>
  <c r="AF12" i="17"/>
  <c r="AE12" i="17"/>
  <c r="AG11" i="17"/>
  <c r="AF11" i="17"/>
  <c r="AE11" i="17"/>
  <c r="AG10" i="17"/>
  <c r="AF10" i="17"/>
  <c r="AE10" i="17"/>
  <c r="AG9" i="17"/>
  <c r="AF9" i="17"/>
  <c r="AE9" i="17"/>
  <c r="AA9" i="17"/>
  <c r="U9" i="17"/>
  <c r="AC8" i="17"/>
  <c r="AG8" i="17" s="1"/>
  <c r="AB8" i="17"/>
  <c r="Z8" i="17"/>
  <c r="AA8" i="17" s="1"/>
  <c r="Y8" i="17"/>
  <c r="W8" i="17"/>
  <c r="AF8" i="17" s="1"/>
  <c r="V8" i="17"/>
  <c r="T8" i="17"/>
  <c r="S8" i="17"/>
  <c r="AG7" i="17"/>
  <c r="AF7" i="17"/>
  <c r="AE7" i="17"/>
  <c r="AG6" i="17"/>
  <c r="AF6" i="17"/>
  <c r="AE6" i="17"/>
  <c r="AC5" i="17"/>
  <c r="AB5" i="17"/>
  <c r="AG5" i="17" s="1"/>
  <c r="Z5" i="17"/>
  <c r="Y5" i="17"/>
  <c r="W5" i="17"/>
  <c r="V5" i="17"/>
  <c r="V51" i="17" s="1"/>
  <c r="T5" i="17"/>
  <c r="S5" i="17"/>
  <c r="P39" i="17"/>
  <c r="O39" i="17"/>
  <c r="N39" i="17"/>
  <c r="L38" i="17"/>
  <c r="P38" i="17" s="1"/>
  <c r="K38" i="17"/>
  <c r="I38" i="17"/>
  <c r="H38" i="17"/>
  <c r="F38" i="17"/>
  <c r="O38" i="17" s="1"/>
  <c r="E38" i="17"/>
  <c r="C38" i="17"/>
  <c r="B38" i="17"/>
  <c r="P37" i="17"/>
  <c r="O37" i="17"/>
  <c r="N37" i="17"/>
  <c r="L36" i="17"/>
  <c r="K36" i="17"/>
  <c r="I36" i="17"/>
  <c r="H36" i="17"/>
  <c r="F36" i="17"/>
  <c r="E36" i="17"/>
  <c r="C36" i="17"/>
  <c r="B36" i="17"/>
  <c r="P35" i="17"/>
  <c r="O35" i="17"/>
  <c r="N35" i="17"/>
  <c r="P34" i="17"/>
  <c r="O34" i="17"/>
  <c r="N34" i="17"/>
  <c r="P33" i="17"/>
  <c r="O33" i="17"/>
  <c r="N33" i="17"/>
  <c r="L32" i="17"/>
  <c r="P32" i="17" s="1"/>
  <c r="K32" i="17"/>
  <c r="I32" i="17"/>
  <c r="H32" i="17"/>
  <c r="F32" i="17"/>
  <c r="O32" i="17" s="1"/>
  <c r="E32" i="17"/>
  <c r="C32" i="17"/>
  <c r="B32" i="17"/>
  <c r="N32" i="17" s="1"/>
  <c r="P31" i="17"/>
  <c r="O31" i="17"/>
  <c r="N31" i="17"/>
  <c r="J31" i="17"/>
  <c r="D31" i="17"/>
  <c r="L30" i="17"/>
  <c r="K30" i="17"/>
  <c r="I30" i="17"/>
  <c r="J30" i="17" s="1"/>
  <c r="H30" i="17"/>
  <c r="F30" i="17"/>
  <c r="E30" i="17"/>
  <c r="C30" i="17"/>
  <c r="N30" i="17" s="1"/>
  <c r="B30" i="17"/>
  <c r="P29" i="17"/>
  <c r="O29" i="17"/>
  <c r="N29" i="17"/>
  <c r="P28" i="17"/>
  <c r="O28" i="17"/>
  <c r="N28" i="17"/>
  <c r="P27" i="17"/>
  <c r="O27" i="17"/>
  <c r="N27" i="17"/>
  <c r="L26" i="17"/>
  <c r="P26" i="17" s="1"/>
  <c r="K26" i="17"/>
  <c r="I26" i="17"/>
  <c r="H26" i="17"/>
  <c r="F26" i="17"/>
  <c r="O26" i="17" s="1"/>
  <c r="E26" i="17"/>
  <c r="C26" i="17"/>
  <c r="B26" i="17"/>
  <c r="P25" i="17"/>
  <c r="O25" i="17"/>
  <c r="N25" i="17"/>
  <c r="P24" i="17"/>
  <c r="O24" i="17"/>
  <c r="N24" i="17"/>
  <c r="M24" i="17"/>
  <c r="J24" i="17"/>
  <c r="G24" i="17"/>
  <c r="D24" i="17"/>
  <c r="P23" i="17"/>
  <c r="O23" i="17"/>
  <c r="N23" i="17"/>
  <c r="L22" i="17"/>
  <c r="K22" i="17"/>
  <c r="I22" i="17"/>
  <c r="H22" i="17"/>
  <c r="F22" i="17"/>
  <c r="O22" i="17" s="1"/>
  <c r="E22" i="17"/>
  <c r="C22" i="17"/>
  <c r="N22" i="17" s="1"/>
  <c r="B22" i="17"/>
  <c r="P21" i="17"/>
  <c r="O21" i="17"/>
  <c r="N21" i="17"/>
  <c r="P20" i="17"/>
  <c r="O20" i="17"/>
  <c r="N20" i="17"/>
  <c r="P19" i="17"/>
  <c r="O19" i="17"/>
  <c r="N19" i="17"/>
  <c r="P18" i="17"/>
  <c r="O18" i="17"/>
  <c r="N18" i="17"/>
  <c r="P17" i="17"/>
  <c r="O17" i="17"/>
  <c r="N17" i="17"/>
  <c r="M17" i="17"/>
  <c r="J17" i="17"/>
  <c r="G17" i="17"/>
  <c r="D17" i="17"/>
  <c r="P16" i="17"/>
  <c r="O16" i="17"/>
  <c r="N16" i="17"/>
  <c r="P15" i="17"/>
  <c r="O15" i="17"/>
  <c r="N15" i="17"/>
  <c r="M15" i="17"/>
  <c r="J15" i="17"/>
  <c r="G15" i="17"/>
  <c r="D15" i="17"/>
  <c r="P14" i="17"/>
  <c r="L14" i="17"/>
  <c r="K14" i="17"/>
  <c r="I14" i="17"/>
  <c r="H14" i="17"/>
  <c r="F14" i="17"/>
  <c r="O14" i="17" s="1"/>
  <c r="E14" i="17"/>
  <c r="C14" i="17"/>
  <c r="N14" i="17" s="1"/>
  <c r="B14" i="17"/>
  <c r="P13" i="17"/>
  <c r="O13" i="17"/>
  <c r="N13" i="17"/>
  <c r="P12" i="17"/>
  <c r="O12" i="17"/>
  <c r="N12" i="17"/>
  <c r="M12" i="17"/>
  <c r="J12" i="17"/>
  <c r="G12" i="17"/>
  <c r="D12" i="17"/>
  <c r="P11" i="17"/>
  <c r="O11" i="17"/>
  <c r="N11" i="17"/>
  <c r="M11" i="17"/>
  <c r="D11" i="17"/>
  <c r="P10" i="17"/>
  <c r="O10" i="17"/>
  <c r="N10" i="17"/>
  <c r="M10" i="17"/>
  <c r="J10" i="17"/>
  <c r="G10" i="17"/>
  <c r="D10" i="17"/>
  <c r="P9" i="17"/>
  <c r="O9" i="17"/>
  <c r="N9" i="17"/>
  <c r="P8" i="17"/>
  <c r="O8" i="17"/>
  <c r="N8" i="17"/>
  <c r="P7" i="17"/>
  <c r="O7" i="17"/>
  <c r="N7" i="17"/>
  <c r="J7" i="17"/>
  <c r="G7" i="17"/>
  <c r="D7" i="17"/>
  <c r="P6" i="17"/>
  <c r="O6" i="17"/>
  <c r="N6" i="17"/>
  <c r="L5" i="17"/>
  <c r="P5" i="17" s="1"/>
  <c r="K5" i="17"/>
  <c r="I5" i="17"/>
  <c r="J5" i="17" s="1"/>
  <c r="H5" i="17"/>
  <c r="H40" i="17" s="1"/>
  <c r="F5" i="17"/>
  <c r="O5" i="17" s="1"/>
  <c r="E5" i="17"/>
  <c r="C5" i="17"/>
  <c r="B5" i="17"/>
  <c r="B40" i="17" s="1"/>
  <c r="AU5" i="1"/>
  <c r="L77" i="16"/>
  <c r="K77" i="16"/>
  <c r="J77" i="16"/>
  <c r="I77" i="16"/>
  <c r="H77" i="16"/>
  <c r="G77" i="16"/>
  <c r="F77" i="16"/>
  <c r="E77" i="16"/>
  <c r="D77" i="16"/>
  <c r="C77" i="16"/>
  <c r="L65" i="16"/>
  <c r="K65" i="16"/>
  <c r="J65" i="16"/>
  <c r="I65" i="16"/>
  <c r="H65" i="16"/>
  <c r="G65" i="16"/>
  <c r="F65" i="16"/>
  <c r="E65" i="16"/>
  <c r="D65" i="16"/>
  <c r="C65" i="16"/>
  <c r="L57" i="16"/>
  <c r="K57" i="16"/>
  <c r="J57" i="16"/>
  <c r="I57" i="16"/>
  <c r="H57" i="16"/>
  <c r="G57" i="16"/>
  <c r="F57" i="16"/>
  <c r="E57" i="16"/>
  <c r="D57" i="16"/>
  <c r="C57" i="16"/>
  <c r="L48" i="16"/>
  <c r="K48" i="16"/>
  <c r="J48" i="16"/>
  <c r="I48" i="16"/>
  <c r="H48" i="16"/>
  <c r="G48" i="16"/>
  <c r="F48" i="16"/>
  <c r="E48" i="16"/>
  <c r="D48" i="16"/>
  <c r="C48" i="16"/>
  <c r="L33" i="16"/>
  <c r="K33" i="16"/>
  <c r="J33" i="16"/>
  <c r="I33" i="16"/>
  <c r="H33" i="16"/>
  <c r="G33" i="16"/>
  <c r="F33" i="16"/>
  <c r="E33" i="16"/>
  <c r="D33" i="16"/>
  <c r="C33" i="16"/>
  <c r="L26" i="16"/>
  <c r="K26" i="16"/>
  <c r="J26" i="16"/>
  <c r="I26" i="16"/>
  <c r="H26" i="16"/>
  <c r="G26" i="16"/>
  <c r="F26" i="16"/>
  <c r="E26" i="16"/>
  <c r="D26" i="16"/>
  <c r="C26" i="16"/>
  <c r="L15" i="16"/>
  <c r="L101" i="16" s="1"/>
  <c r="K15" i="16"/>
  <c r="K101" i="16" s="1"/>
  <c r="J15" i="16"/>
  <c r="I15" i="16"/>
  <c r="H15" i="16"/>
  <c r="H101" i="16" s="1"/>
  <c r="G15" i="16"/>
  <c r="G101" i="16" s="1"/>
  <c r="F15" i="16"/>
  <c r="E15" i="16"/>
  <c r="D15" i="16"/>
  <c r="D101" i="16" s="1"/>
  <c r="C3" i="16"/>
  <c r="C101" i="16" s="1"/>
  <c r="E101" i="16" l="1"/>
  <c r="I101" i="16"/>
  <c r="F101" i="16"/>
  <c r="J101" i="16"/>
  <c r="N5" i="17"/>
  <c r="O36" i="17"/>
  <c r="P36" i="17"/>
  <c r="W51" i="17"/>
  <c r="AF51" i="17" s="1"/>
  <c r="AC51" i="17"/>
  <c r="AE8" i="17"/>
  <c r="AD43" i="17"/>
  <c r="AG46" i="17"/>
  <c r="AW8" i="17"/>
  <c r="AX8" i="17"/>
  <c r="E40" i="17"/>
  <c r="G14" i="17"/>
  <c r="M14" i="17"/>
  <c r="G22" i="17"/>
  <c r="P22" i="17"/>
  <c r="N26" i="17"/>
  <c r="I40" i="17"/>
  <c r="O30" i="17"/>
  <c r="P30" i="17"/>
  <c r="N36" i="17"/>
  <c r="N38" i="17"/>
  <c r="AE5" i="17"/>
  <c r="Y51" i="17"/>
  <c r="K40" i="17"/>
  <c r="J14" i="17"/>
  <c r="J22" i="17"/>
  <c r="Z51" i="17"/>
  <c r="AE36" i="17"/>
  <c r="AF36" i="17"/>
  <c r="AG36" i="17"/>
  <c r="AE43" i="17"/>
  <c r="AE46" i="17"/>
  <c r="AV8" i="17"/>
  <c r="AR8" i="17"/>
  <c r="AL8" i="17"/>
  <c r="AD51" i="17"/>
  <c r="AA51" i="17"/>
  <c r="X51" i="17"/>
  <c r="AD36" i="17"/>
  <c r="U13" i="17"/>
  <c r="AD13" i="17"/>
  <c r="X36" i="17"/>
  <c r="S51" i="17"/>
  <c r="T51" i="17"/>
  <c r="U51" i="17" s="1"/>
  <c r="AB51" i="17"/>
  <c r="AG51" i="17" s="1"/>
  <c r="AF5" i="17"/>
  <c r="X13" i="17"/>
  <c r="U43" i="17"/>
  <c r="U8" i="17"/>
  <c r="J40" i="17"/>
  <c r="D30" i="17"/>
  <c r="M5" i="17"/>
  <c r="M22" i="17"/>
  <c r="C40" i="17"/>
  <c r="D5" i="17"/>
  <c r="D22" i="17"/>
  <c r="L40" i="17"/>
  <c r="D14" i="17"/>
  <c r="F40" i="17"/>
  <c r="G5" i="17"/>
  <c r="AW8" i="1"/>
  <c r="AX8" i="1"/>
  <c r="AY8" i="1"/>
  <c r="AZ8" i="1"/>
  <c r="BA8" i="1"/>
  <c r="BB8" i="1"/>
  <c r="BC8" i="1"/>
  <c r="BD8" i="1"/>
  <c r="BE8" i="1"/>
  <c r="BF8" i="1"/>
  <c r="BG8" i="1"/>
  <c r="BH8" i="1"/>
  <c r="AV7" i="1"/>
  <c r="AU7" i="1"/>
  <c r="AV6" i="1"/>
  <c r="AU6" i="1"/>
  <c r="AV5" i="1"/>
  <c r="AU8" i="1"/>
  <c r="AL36" i="1"/>
  <c r="AE50" i="1"/>
  <c r="AD50" i="1"/>
  <c r="AE49" i="1"/>
  <c r="AD49" i="1"/>
  <c r="AE48" i="1"/>
  <c r="AD48" i="1"/>
  <c r="AE47" i="1"/>
  <c r="AD47" i="1"/>
  <c r="AQ46" i="1"/>
  <c r="AP46" i="1"/>
  <c r="AO46" i="1"/>
  <c r="AN46" i="1"/>
  <c r="AM46" i="1"/>
  <c r="AL46" i="1"/>
  <c r="AK46" i="1"/>
  <c r="AJ46" i="1"/>
  <c r="AI46" i="1"/>
  <c r="AH46" i="1"/>
  <c r="AG46" i="1"/>
  <c r="AF46" i="1"/>
  <c r="AE45" i="1"/>
  <c r="AD45" i="1"/>
  <c r="AE44" i="1"/>
  <c r="AD44" i="1"/>
  <c r="AQ43" i="1"/>
  <c r="AP43" i="1"/>
  <c r="AO43" i="1"/>
  <c r="AN43" i="1"/>
  <c r="AM43" i="1"/>
  <c r="AL43" i="1"/>
  <c r="AK43" i="1"/>
  <c r="AJ43" i="1"/>
  <c r="AI43" i="1"/>
  <c r="AH43" i="1"/>
  <c r="AG43" i="1"/>
  <c r="AF43" i="1"/>
  <c r="AE42" i="1"/>
  <c r="AD42" i="1"/>
  <c r="AE41" i="1"/>
  <c r="AD41" i="1"/>
  <c r="AE40" i="1"/>
  <c r="AD40" i="1"/>
  <c r="AE39" i="1"/>
  <c r="AD39" i="1"/>
  <c r="AE38" i="1"/>
  <c r="AD38" i="1"/>
  <c r="AE37" i="1"/>
  <c r="AD37" i="1"/>
  <c r="AQ36" i="1"/>
  <c r="AP36" i="1"/>
  <c r="AO36" i="1"/>
  <c r="AN36" i="1"/>
  <c r="AM36" i="1"/>
  <c r="AK36" i="1"/>
  <c r="AJ36" i="1"/>
  <c r="AI36" i="1"/>
  <c r="AH36" i="1"/>
  <c r="AG36" i="1"/>
  <c r="AF36" i="1"/>
  <c r="AE35" i="1"/>
  <c r="AD35" i="1"/>
  <c r="AE34" i="1"/>
  <c r="AD34" i="1"/>
  <c r="AE33" i="1"/>
  <c r="AD33" i="1"/>
  <c r="AE32" i="1"/>
  <c r="AD32" i="1"/>
  <c r="AQ31" i="1"/>
  <c r="AP31" i="1"/>
  <c r="AO31" i="1"/>
  <c r="AN31" i="1"/>
  <c r="AM31" i="1"/>
  <c r="AL31" i="1"/>
  <c r="AK31" i="1"/>
  <c r="AJ31" i="1"/>
  <c r="AI31" i="1"/>
  <c r="AH31" i="1"/>
  <c r="AG31" i="1"/>
  <c r="AF31" i="1"/>
  <c r="AE30" i="1"/>
  <c r="AD30" i="1"/>
  <c r="AE29" i="1"/>
  <c r="AD29" i="1"/>
  <c r="AE28" i="1"/>
  <c r="AD28" i="1"/>
  <c r="AE27" i="1"/>
  <c r="AD27" i="1"/>
  <c r="AE26" i="1"/>
  <c r="AD26" i="1"/>
  <c r="AE25" i="1"/>
  <c r="AD25" i="1"/>
  <c r="AE24" i="1"/>
  <c r="AD24" i="1"/>
  <c r="AE23" i="1"/>
  <c r="AD23" i="1"/>
  <c r="AE22" i="1"/>
  <c r="AD22" i="1"/>
  <c r="AE21" i="1"/>
  <c r="AD21" i="1"/>
  <c r="AE20" i="1"/>
  <c r="AD20" i="1"/>
  <c r="AE19" i="1"/>
  <c r="AD19" i="1"/>
  <c r="AE18" i="1"/>
  <c r="AD18" i="1"/>
  <c r="AE17" i="1"/>
  <c r="AD17" i="1"/>
  <c r="AE16" i="1"/>
  <c r="AD16" i="1"/>
  <c r="AE15" i="1"/>
  <c r="AD15" i="1"/>
  <c r="AE14" i="1"/>
  <c r="AD14" i="1"/>
  <c r="AQ13" i="1"/>
  <c r="AP13" i="1"/>
  <c r="AO13" i="1"/>
  <c r="AN13" i="1"/>
  <c r="AM13" i="1"/>
  <c r="AL13" i="1"/>
  <c r="AK13" i="1"/>
  <c r="AJ13" i="1"/>
  <c r="AI13" i="1"/>
  <c r="AH13" i="1"/>
  <c r="AG13" i="1"/>
  <c r="AF13" i="1"/>
  <c r="AE12" i="1"/>
  <c r="AD12" i="1"/>
  <c r="AE11" i="1"/>
  <c r="AD11" i="1"/>
  <c r="AE10" i="1"/>
  <c r="AD10" i="1"/>
  <c r="AE9" i="1"/>
  <c r="AD9" i="1"/>
  <c r="AQ8" i="1"/>
  <c r="AP8" i="1"/>
  <c r="AO8" i="1"/>
  <c r="AN8" i="1"/>
  <c r="AM8" i="1"/>
  <c r="AL8" i="1"/>
  <c r="AK8" i="1"/>
  <c r="AJ8" i="1"/>
  <c r="AI8" i="1"/>
  <c r="AH8" i="1"/>
  <c r="AG8" i="1"/>
  <c r="AF8" i="1"/>
  <c r="AE7" i="1"/>
  <c r="AD7" i="1"/>
  <c r="AE6" i="1"/>
  <c r="AD6" i="1"/>
  <c r="AQ5" i="1"/>
  <c r="AP5" i="1"/>
  <c r="AO5" i="1"/>
  <c r="AN5" i="1"/>
  <c r="AM5" i="1"/>
  <c r="AL5" i="1"/>
  <c r="AK5" i="1"/>
  <c r="AJ5" i="1"/>
  <c r="AI5" i="1"/>
  <c r="AH5" i="1"/>
  <c r="AG5" i="1"/>
  <c r="AF5" i="1"/>
  <c r="B72" i="15"/>
  <c r="B49" i="15"/>
  <c r="B44" i="15"/>
  <c r="B29" i="15"/>
  <c r="B25" i="15"/>
  <c r="B21" i="15"/>
  <c r="B13" i="15"/>
  <c r="AE51" i="17" l="1"/>
  <c r="P40" i="17"/>
  <c r="M40" i="17"/>
  <c r="O40" i="17"/>
  <c r="G40" i="17"/>
  <c r="N40" i="17"/>
  <c r="D40" i="17"/>
  <c r="AV8" i="1"/>
  <c r="AD43" i="1"/>
  <c r="AD13" i="1"/>
  <c r="AD31" i="1"/>
  <c r="AD5" i="1"/>
  <c r="AE31" i="1"/>
  <c r="AE8" i="1"/>
  <c r="AE36" i="1"/>
  <c r="AE46" i="1"/>
  <c r="AD8" i="1"/>
  <c r="AD46" i="1"/>
  <c r="AE43" i="1"/>
  <c r="AE13" i="1"/>
  <c r="AE5" i="1"/>
  <c r="AD36" i="1"/>
  <c r="C13" i="15"/>
  <c r="D13" i="15" s="1"/>
  <c r="K73" i="3" l="1"/>
  <c r="J14" i="1"/>
  <c r="F14" i="1"/>
  <c r="D14" i="1"/>
  <c r="F5" i="1"/>
  <c r="D5" i="1"/>
  <c r="F30" i="1"/>
  <c r="C35" i="1"/>
  <c r="B35" i="1"/>
  <c r="C34" i="1"/>
  <c r="B34" i="1"/>
  <c r="C33" i="1"/>
  <c r="B33" i="1"/>
  <c r="C31" i="1"/>
  <c r="B31" i="1"/>
  <c r="C29" i="1"/>
  <c r="B29" i="1"/>
  <c r="C28" i="1"/>
  <c r="B28" i="1"/>
  <c r="C27" i="1"/>
  <c r="B27" i="1"/>
  <c r="C25" i="1"/>
  <c r="B25" i="1"/>
  <c r="C24" i="1"/>
  <c r="B24" i="1"/>
  <c r="C23" i="1"/>
  <c r="B23" i="1"/>
  <c r="C21" i="1"/>
  <c r="B21" i="1"/>
  <c r="C20" i="1"/>
  <c r="B20" i="1"/>
  <c r="C19" i="1"/>
  <c r="B19" i="1"/>
  <c r="C18" i="1"/>
  <c r="B18" i="1"/>
  <c r="C17" i="1"/>
  <c r="B17" i="1"/>
  <c r="C16" i="1"/>
  <c r="B16" i="1"/>
  <c r="C15" i="1"/>
  <c r="B15" i="1"/>
  <c r="C13" i="1"/>
  <c r="B13" i="1"/>
  <c r="C12" i="1"/>
  <c r="B12" i="1"/>
  <c r="C11" i="1"/>
  <c r="B11" i="1"/>
  <c r="C10" i="1"/>
  <c r="B10" i="1"/>
  <c r="C9" i="1"/>
  <c r="B9" i="1"/>
  <c r="C8" i="1"/>
  <c r="B8" i="1"/>
  <c r="C7" i="1"/>
  <c r="B7" i="1"/>
  <c r="C6" i="1"/>
  <c r="B6" i="1"/>
  <c r="C49" i="15" l="1"/>
  <c r="D49" i="15" s="1"/>
  <c r="C44" i="15"/>
  <c r="L50" i="3"/>
  <c r="K50" i="3"/>
  <c r="L45" i="3"/>
  <c r="K45" i="3"/>
  <c r="I50" i="3"/>
  <c r="H50" i="3"/>
  <c r="I45" i="3"/>
  <c r="H45" i="3"/>
  <c r="F50" i="3"/>
  <c r="E50" i="3"/>
  <c r="C45" i="3"/>
  <c r="F45" i="3"/>
  <c r="E45" i="3"/>
  <c r="D46" i="3"/>
  <c r="M50" i="3" l="1"/>
  <c r="J50" i="3"/>
  <c r="G50" i="3"/>
  <c r="J45" i="3"/>
  <c r="C50" i="3"/>
  <c r="B50" i="3"/>
  <c r="B45" i="3"/>
  <c r="D50" i="3" l="1"/>
  <c r="D89" i="15"/>
  <c r="J91" i="3"/>
  <c r="J90" i="3"/>
  <c r="D91" i="3"/>
  <c r="D92" i="3"/>
  <c r="D90" i="3"/>
  <c r="M74" i="3"/>
  <c r="M81" i="3"/>
  <c r="M10" i="3"/>
  <c r="M11" i="3"/>
  <c r="M12" i="3"/>
  <c r="M15" i="3"/>
  <c r="M17" i="3"/>
  <c r="M24" i="3"/>
  <c r="J46" i="3"/>
  <c r="J51" i="3"/>
  <c r="J52" i="3"/>
  <c r="J66" i="3"/>
  <c r="J74" i="3"/>
  <c r="J81" i="3"/>
  <c r="G51" i="3"/>
  <c r="G52" i="3"/>
  <c r="G66" i="3"/>
  <c r="G74" i="3"/>
  <c r="G81" i="3"/>
  <c r="D51" i="3"/>
  <c r="D52" i="3"/>
  <c r="D58" i="3"/>
  <c r="D63" i="3"/>
  <c r="D64" i="3"/>
  <c r="D65" i="3"/>
  <c r="D66" i="3"/>
  <c r="D74" i="3"/>
  <c r="D81" i="3"/>
  <c r="J7" i="3"/>
  <c r="J10" i="3"/>
  <c r="J12" i="3"/>
  <c r="J15" i="3"/>
  <c r="J17" i="3"/>
  <c r="J24" i="3"/>
  <c r="J31" i="3"/>
  <c r="G7" i="3"/>
  <c r="G10" i="3"/>
  <c r="G12" i="3"/>
  <c r="G15" i="3"/>
  <c r="G17" i="3"/>
  <c r="G24" i="3"/>
  <c r="D10" i="3"/>
  <c r="D11" i="3"/>
  <c r="D12" i="3"/>
  <c r="D15" i="3"/>
  <c r="D17" i="3"/>
  <c r="D24" i="3"/>
  <c r="D31" i="3"/>
  <c r="D7" i="3"/>
  <c r="C92" i="15" l="1"/>
  <c r="B92" i="15"/>
  <c r="C82" i="15"/>
  <c r="B82" i="15"/>
  <c r="C79" i="15"/>
  <c r="B79" i="15"/>
  <c r="C72" i="15"/>
  <c r="D72" i="15" s="1"/>
  <c r="C67" i="15"/>
  <c r="B67" i="15"/>
  <c r="C41" i="15"/>
  <c r="B41" i="15"/>
  <c r="C37" i="15"/>
  <c r="B37" i="15"/>
  <c r="C35" i="15"/>
  <c r="D35" i="15" s="1"/>
  <c r="B35" i="15"/>
  <c r="C31" i="15"/>
  <c r="B31" i="15"/>
  <c r="C29" i="15"/>
  <c r="D29" i="15" s="1"/>
  <c r="C25" i="15"/>
  <c r="D25" i="15" s="1"/>
  <c r="C21" i="15"/>
  <c r="D21" i="15" s="1"/>
  <c r="C4" i="15"/>
  <c r="B4" i="15"/>
  <c r="L93" i="3"/>
  <c r="K93" i="3"/>
  <c r="I93" i="3"/>
  <c r="H93" i="3"/>
  <c r="F93" i="3"/>
  <c r="E93" i="3"/>
  <c r="C93" i="3"/>
  <c r="B93" i="3"/>
  <c r="P92" i="3"/>
  <c r="O92" i="3"/>
  <c r="N92" i="3"/>
  <c r="P91" i="3"/>
  <c r="O91" i="3"/>
  <c r="N91" i="3"/>
  <c r="P90" i="3"/>
  <c r="O90" i="3"/>
  <c r="N90" i="3"/>
  <c r="P87" i="3"/>
  <c r="O87" i="3"/>
  <c r="N87" i="3"/>
  <c r="P86" i="3"/>
  <c r="O86" i="3"/>
  <c r="N86" i="3"/>
  <c r="P85" i="3"/>
  <c r="O85" i="3"/>
  <c r="N85" i="3"/>
  <c r="P84" i="3"/>
  <c r="O84" i="3"/>
  <c r="N84" i="3"/>
  <c r="L83" i="3"/>
  <c r="K83" i="3"/>
  <c r="I83" i="3"/>
  <c r="H83" i="3"/>
  <c r="F83" i="3"/>
  <c r="E83" i="3"/>
  <c r="C83" i="3"/>
  <c r="B83" i="3"/>
  <c r="P82" i="3"/>
  <c r="O82" i="3"/>
  <c r="N82" i="3"/>
  <c r="P81" i="3"/>
  <c r="O81" i="3"/>
  <c r="N81" i="3"/>
  <c r="L80" i="3"/>
  <c r="K80" i="3"/>
  <c r="I80" i="3"/>
  <c r="H80" i="3"/>
  <c r="F80" i="3"/>
  <c r="E80" i="3"/>
  <c r="C80" i="3"/>
  <c r="B80" i="3"/>
  <c r="P79" i="3"/>
  <c r="O79" i="3"/>
  <c r="N79" i="3"/>
  <c r="P78" i="3"/>
  <c r="O78" i="3"/>
  <c r="N78" i="3"/>
  <c r="P77" i="3"/>
  <c r="O77" i="3"/>
  <c r="N77" i="3"/>
  <c r="P76" i="3"/>
  <c r="O76" i="3"/>
  <c r="N76" i="3"/>
  <c r="P75" i="3"/>
  <c r="O75" i="3"/>
  <c r="N75" i="3"/>
  <c r="P74" i="3"/>
  <c r="O74" i="3"/>
  <c r="N74" i="3"/>
  <c r="L73" i="3"/>
  <c r="I73" i="3"/>
  <c r="H73" i="3"/>
  <c r="F73" i="3"/>
  <c r="E73" i="3"/>
  <c r="C73" i="3"/>
  <c r="B73" i="3"/>
  <c r="P72" i="3"/>
  <c r="O72" i="3"/>
  <c r="N72" i="3"/>
  <c r="P71" i="3"/>
  <c r="O71" i="3"/>
  <c r="N71" i="3"/>
  <c r="P70" i="3"/>
  <c r="O70" i="3"/>
  <c r="N70" i="3"/>
  <c r="P69" i="3"/>
  <c r="O69" i="3"/>
  <c r="N69" i="3"/>
  <c r="L68" i="3"/>
  <c r="K68" i="3"/>
  <c r="I68" i="3"/>
  <c r="H68" i="3"/>
  <c r="F68" i="3"/>
  <c r="E68" i="3"/>
  <c r="C68" i="3"/>
  <c r="B68" i="3"/>
  <c r="P67" i="3"/>
  <c r="O67" i="3"/>
  <c r="N67" i="3"/>
  <c r="P66" i="3"/>
  <c r="O66" i="3"/>
  <c r="N66" i="3"/>
  <c r="P65" i="3"/>
  <c r="O65" i="3"/>
  <c r="N65" i="3"/>
  <c r="P64" i="3"/>
  <c r="O64" i="3"/>
  <c r="N64" i="3"/>
  <c r="P63" i="3"/>
  <c r="O63" i="3"/>
  <c r="N63" i="3"/>
  <c r="P62" i="3"/>
  <c r="O62" i="3"/>
  <c r="N62" i="3"/>
  <c r="P61" i="3"/>
  <c r="O61" i="3"/>
  <c r="N61" i="3"/>
  <c r="P60" i="3"/>
  <c r="O60" i="3"/>
  <c r="N60" i="3"/>
  <c r="P59" i="3"/>
  <c r="O59" i="3"/>
  <c r="N59" i="3"/>
  <c r="P58" i="3"/>
  <c r="O58" i="3"/>
  <c r="N58" i="3"/>
  <c r="P57" i="3"/>
  <c r="O57" i="3"/>
  <c r="N57" i="3"/>
  <c r="P56" i="3"/>
  <c r="O56" i="3"/>
  <c r="N56" i="3"/>
  <c r="P55" i="3"/>
  <c r="O55" i="3"/>
  <c r="N55" i="3"/>
  <c r="P54" i="3"/>
  <c r="O54" i="3"/>
  <c r="N54" i="3"/>
  <c r="P53" i="3"/>
  <c r="O53" i="3"/>
  <c r="N53" i="3"/>
  <c r="P52" i="3"/>
  <c r="O52" i="3"/>
  <c r="N52" i="3"/>
  <c r="P51" i="3"/>
  <c r="O51" i="3"/>
  <c r="N51" i="3"/>
  <c r="P50" i="3"/>
  <c r="O50" i="3"/>
  <c r="N50" i="3"/>
  <c r="P49" i="3"/>
  <c r="O49" i="3"/>
  <c r="N49" i="3"/>
  <c r="P48" i="3"/>
  <c r="O48" i="3"/>
  <c r="N48" i="3"/>
  <c r="P47" i="3"/>
  <c r="O47" i="3"/>
  <c r="N47" i="3"/>
  <c r="P46" i="3"/>
  <c r="O46" i="3"/>
  <c r="N46" i="3"/>
  <c r="D45" i="3"/>
  <c r="P44" i="3"/>
  <c r="O44" i="3"/>
  <c r="N44" i="3"/>
  <c r="P43" i="3"/>
  <c r="O43" i="3"/>
  <c r="N43" i="3"/>
  <c r="L42" i="3"/>
  <c r="K42" i="3"/>
  <c r="I42" i="3"/>
  <c r="H42" i="3"/>
  <c r="F42" i="3"/>
  <c r="E42" i="3"/>
  <c r="C42" i="3"/>
  <c r="B42" i="3"/>
  <c r="P39" i="3"/>
  <c r="O39" i="3"/>
  <c r="N39" i="3"/>
  <c r="L38" i="3"/>
  <c r="K38" i="3"/>
  <c r="I38" i="3"/>
  <c r="H38" i="3"/>
  <c r="F38" i="3"/>
  <c r="E38" i="3"/>
  <c r="C38" i="3"/>
  <c r="B38" i="3"/>
  <c r="P37" i="3"/>
  <c r="O37" i="3"/>
  <c r="N37" i="3"/>
  <c r="L36" i="3"/>
  <c r="K36" i="3"/>
  <c r="I36" i="3"/>
  <c r="H36" i="3"/>
  <c r="F36" i="3"/>
  <c r="E36" i="3"/>
  <c r="C36" i="3"/>
  <c r="B36" i="3"/>
  <c r="P35" i="3"/>
  <c r="O35" i="3"/>
  <c r="N35" i="3"/>
  <c r="P34" i="3"/>
  <c r="O34" i="3"/>
  <c r="N34" i="3"/>
  <c r="P33" i="3"/>
  <c r="O33" i="3"/>
  <c r="N33" i="3"/>
  <c r="L32" i="3"/>
  <c r="K32" i="3"/>
  <c r="I32" i="3"/>
  <c r="H32" i="3"/>
  <c r="F32" i="3"/>
  <c r="E32" i="3"/>
  <c r="C32" i="3"/>
  <c r="B32" i="3"/>
  <c r="P31" i="3"/>
  <c r="O31" i="3"/>
  <c r="N31" i="3"/>
  <c r="L30" i="3"/>
  <c r="K30" i="3"/>
  <c r="I30" i="3"/>
  <c r="H30" i="3"/>
  <c r="F30" i="3"/>
  <c r="E30" i="3"/>
  <c r="C30" i="3"/>
  <c r="B30" i="3"/>
  <c r="P29" i="3"/>
  <c r="O29" i="3"/>
  <c r="N29" i="3"/>
  <c r="P28" i="3"/>
  <c r="O28" i="3"/>
  <c r="N28" i="3"/>
  <c r="P27" i="3"/>
  <c r="O27" i="3"/>
  <c r="N27" i="3"/>
  <c r="L26" i="3"/>
  <c r="K26" i="3"/>
  <c r="I26" i="3"/>
  <c r="H26" i="3"/>
  <c r="F26" i="3"/>
  <c r="E26" i="3"/>
  <c r="C26" i="3"/>
  <c r="B26" i="3"/>
  <c r="P25" i="3"/>
  <c r="O25" i="3"/>
  <c r="N25" i="3"/>
  <c r="P24" i="3"/>
  <c r="O24" i="3"/>
  <c r="N24" i="3"/>
  <c r="P23" i="3"/>
  <c r="O23" i="3"/>
  <c r="N23" i="3"/>
  <c r="L22" i="3"/>
  <c r="K22" i="3"/>
  <c r="I22" i="3"/>
  <c r="H22" i="3"/>
  <c r="F22" i="3"/>
  <c r="E22" i="3"/>
  <c r="C22" i="3"/>
  <c r="B22" i="3"/>
  <c r="P21" i="3"/>
  <c r="O21" i="3"/>
  <c r="N21" i="3"/>
  <c r="P20" i="3"/>
  <c r="O20" i="3"/>
  <c r="N20" i="3"/>
  <c r="P19" i="3"/>
  <c r="O19" i="3"/>
  <c r="N19" i="3"/>
  <c r="P18" i="3"/>
  <c r="O18" i="3"/>
  <c r="N18" i="3"/>
  <c r="P17" i="3"/>
  <c r="O17" i="3"/>
  <c r="N17" i="3"/>
  <c r="P16" i="3"/>
  <c r="O16" i="3"/>
  <c r="N16" i="3"/>
  <c r="P15" i="3"/>
  <c r="O15" i="3"/>
  <c r="N15" i="3"/>
  <c r="L14" i="3"/>
  <c r="K14" i="3"/>
  <c r="I14" i="3"/>
  <c r="H14" i="3"/>
  <c r="F14" i="3"/>
  <c r="E14" i="3"/>
  <c r="C14" i="3"/>
  <c r="B14" i="3"/>
  <c r="P13" i="3"/>
  <c r="O13" i="3"/>
  <c r="N13" i="3"/>
  <c r="P12" i="3"/>
  <c r="O12" i="3"/>
  <c r="N12" i="3"/>
  <c r="P11" i="3"/>
  <c r="O11" i="3"/>
  <c r="N11" i="3"/>
  <c r="P10" i="3"/>
  <c r="O10" i="3"/>
  <c r="N10" i="3"/>
  <c r="P9" i="3"/>
  <c r="O9" i="3"/>
  <c r="N9" i="3"/>
  <c r="P8" i="3"/>
  <c r="O8" i="3"/>
  <c r="N8" i="3"/>
  <c r="P7" i="3"/>
  <c r="O7" i="3"/>
  <c r="N7" i="3"/>
  <c r="P6" i="3"/>
  <c r="O6" i="3"/>
  <c r="N6" i="3"/>
  <c r="L5" i="3"/>
  <c r="K5" i="3"/>
  <c r="I5" i="3"/>
  <c r="H5" i="3"/>
  <c r="F5" i="3"/>
  <c r="E5" i="3"/>
  <c r="C5" i="3"/>
  <c r="B5" i="3"/>
  <c r="C77" i="2"/>
  <c r="C65" i="2"/>
  <c r="C57" i="2"/>
  <c r="C48" i="2"/>
  <c r="C33" i="2"/>
  <c r="C26" i="2"/>
  <c r="C15" i="2"/>
  <c r="C39" i="1"/>
  <c r="B39" i="1"/>
  <c r="O38" i="1"/>
  <c r="N38" i="1"/>
  <c r="M38" i="1"/>
  <c r="L38" i="1"/>
  <c r="K38" i="1"/>
  <c r="J38" i="1"/>
  <c r="I38" i="1"/>
  <c r="H38" i="1"/>
  <c r="G38" i="1"/>
  <c r="F38" i="1"/>
  <c r="E38" i="1"/>
  <c r="D38" i="1"/>
  <c r="C37" i="1"/>
  <c r="B37" i="1"/>
  <c r="O36" i="1"/>
  <c r="N36" i="1"/>
  <c r="M36" i="1"/>
  <c r="L36" i="1"/>
  <c r="K36" i="1"/>
  <c r="J36" i="1"/>
  <c r="I36" i="1"/>
  <c r="H36" i="1"/>
  <c r="G36" i="1"/>
  <c r="F36" i="1"/>
  <c r="E36" i="1"/>
  <c r="D36" i="1"/>
  <c r="O32" i="1"/>
  <c r="N32" i="1"/>
  <c r="M32" i="1"/>
  <c r="L32" i="1"/>
  <c r="K32" i="1"/>
  <c r="J32" i="1"/>
  <c r="I32" i="1"/>
  <c r="H32" i="1"/>
  <c r="G32" i="1"/>
  <c r="F32" i="1"/>
  <c r="E32" i="1"/>
  <c r="D32" i="1"/>
  <c r="O30" i="1"/>
  <c r="N30" i="1"/>
  <c r="M30" i="1"/>
  <c r="L30" i="1"/>
  <c r="K30" i="1"/>
  <c r="J30" i="1"/>
  <c r="I30" i="1"/>
  <c r="H30" i="1"/>
  <c r="G30" i="1"/>
  <c r="E30" i="1"/>
  <c r="D30" i="1"/>
  <c r="O26" i="1"/>
  <c r="N26" i="1"/>
  <c r="M26" i="1"/>
  <c r="L26" i="1"/>
  <c r="K26" i="1"/>
  <c r="J26" i="1"/>
  <c r="I26" i="1"/>
  <c r="H26" i="1"/>
  <c r="G26" i="1"/>
  <c r="F26" i="1"/>
  <c r="E26" i="1"/>
  <c r="D26" i="1"/>
  <c r="O22" i="1"/>
  <c r="N22" i="1"/>
  <c r="M22" i="1"/>
  <c r="L22" i="1"/>
  <c r="K22" i="1"/>
  <c r="J22" i="1"/>
  <c r="I22" i="1"/>
  <c r="H22" i="1"/>
  <c r="G22" i="1"/>
  <c r="F22" i="1"/>
  <c r="E22" i="1"/>
  <c r="D22" i="1"/>
  <c r="O14" i="1"/>
  <c r="N14" i="1"/>
  <c r="M14" i="1"/>
  <c r="L14" i="1"/>
  <c r="K14" i="1"/>
  <c r="I14" i="1"/>
  <c r="H14" i="1"/>
  <c r="G14" i="1"/>
  <c r="E14" i="1"/>
  <c r="O5" i="1"/>
  <c r="N5" i="1"/>
  <c r="M5" i="1"/>
  <c r="L5" i="1"/>
  <c r="K5" i="1"/>
  <c r="J5" i="1"/>
  <c r="I5" i="1"/>
  <c r="H5" i="1"/>
  <c r="G5" i="1"/>
  <c r="E5" i="1"/>
  <c r="D41" i="15" l="1"/>
  <c r="O5" i="3"/>
  <c r="N36" i="3"/>
  <c r="D4" i="15"/>
  <c r="D79" i="15"/>
  <c r="D31" i="15"/>
  <c r="D67" i="15"/>
  <c r="D37" i="15"/>
  <c r="D82" i="15"/>
  <c r="E88" i="3"/>
  <c r="B14" i="1"/>
  <c r="B5" i="1"/>
  <c r="G73" i="3"/>
  <c r="B39" i="15"/>
  <c r="B87" i="15"/>
  <c r="C87" i="15"/>
  <c r="D87" i="15" s="1"/>
  <c r="B38" i="1"/>
  <c r="K88" i="3"/>
  <c r="D73" i="3"/>
  <c r="M5" i="3"/>
  <c r="O42" i="3"/>
  <c r="B32" i="1"/>
  <c r="G14" i="3"/>
  <c r="D80" i="3"/>
  <c r="B26" i="1"/>
  <c r="G5" i="3"/>
  <c r="M14" i="3"/>
  <c r="B88" i="3"/>
  <c r="D88" i="3" s="1"/>
  <c r="J80" i="3"/>
  <c r="C88" i="3"/>
  <c r="D5" i="3"/>
  <c r="J5" i="3"/>
  <c r="D14" i="3"/>
  <c r="J14" i="3"/>
  <c r="O38" i="3"/>
  <c r="G80" i="3"/>
  <c r="M80" i="3"/>
  <c r="O22" i="3"/>
  <c r="G22" i="3"/>
  <c r="M22" i="3"/>
  <c r="D30" i="3"/>
  <c r="J30" i="3"/>
  <c r="D44" i="15"/>
  <c r="D22" i="3"/>
  <c r="J22" i="3"/>
  <c r="N32" i="3"/>
  <c r="N45" i="3"/>
  <c r="M73" i="3"/>
  <c r="D93" i="3"/>
  <c r="J93" i="3"/>
  <c r="D92" i="15"/>
  <c r="J73" i="3"/>
  <c r="H88" i="3"/>
  <c r="K40" i="3"/>
  <c r="K94" i="3" s="1"/>
  <c r="C32" i="1"/>
  <c r="C38" i="1"/>
  <c r="H101" i="2"/>
  <c r="E101" i="2"/>
  <c r="O93" i="3"/>
  <c r="O14" i="3"/>
  <c r="L88" i="3"/>
  <c r="C14" i="1"/>
  <c r="C26" i="1"/>
  <c r="N5" i="3"/>
  <c r="N22" i="3"/>
  <c r="O26" i="3"/>
  <c r="N73" i="3"/>
  <c r="C101" i="2"/>
  <c r="H40" i="3"/>
  <c r="O32" i="3"/>
  <c r="P32" i="3"/>
  <c r="B22" i="1"/>
  <c r="B30" i="1"/>
  <c r="B36" i="1"/>
  <c r="C40" i="3"/>
  <c r="N30" i="3"/>
  <c r="O30" i="3"/>
  <c r="I88" i="3"/>
  <c r="P68" i="3"/>
  <c r="P80" i="3"/>
  <c r="P83" i="3"/>
  <c r="I101" i="2"/>
  <c r="L40" i="3"/>
  <c r="N38" i="3"/>
  <c r="N42" i="3"/>
  <c r="F101" i="2"/>
  <c r="I40" i="3"/>
  <c r="N14" i="3"/>
  <c r="O68" i="3"/>
  <c r="O80" i="3"/>
  <c r="O83" i="3"/>
  <c r="C5" i="1"/>
  <c r="C22" i="1"/>
  <c r="C30" i="1"/>
  <c r="C36" i="1"/>
  <c r="G101" i="2"/>
  <c r="D101" i="2"/>
  <c r="E40" i="3"/>
  <c r="E94" i="3" s="1"/>
  <c r="N26" i="3"/>
  <c r="O36" i="3"/>
  <c r="P36" i="3"/>
  <c r="F88" i="3"/>
  <c r="O45" i="3"/>
  <c r="O73" i="3"/>
  <c r="N83" i="3"/>
  <c r="C39" i="15"/>
  <c r="D39" i="15" s="1"/>
  <c r="P22" i="3"/>
  <c r="P26" i="3"/>
  <c r="P30" i="3"/>
  <c r="P38" i="3"/>
  <c r="B40" i="3"/>
  <c r="F40" i="3"/>
  <c r="P42" i="3"/>
  <c r="N68" i="3"/>
  <c r="N80" i="3"/>
  <c r="N93" i="3"/>
  <c r="P14" i="3"/>
  <c r="P5" i="3"/>
  <c r="P45" i="3"/>
  <c r="P73" i="3"/>
  <c r="P93" i="3"/>
  <c r="B93" i="15" l="1"/>
  <c r="L94" i="3"/>
  <c r="M94" i="3" s="1"/>
  <c r="G40" i="3"/>
  <c r="M88" i="3"/>
  <c r="M40" i="3"/>
  <c r="H94" i="3"/>
  <c r="O88" i="3"/>
  <c r="G88" i="3"/>
  <c r="D40" i="3"/>
  <c r="N40" i="3"/>
  <c r="B94" i="3"/>
  <c r="P40" i="3"/>
  <c r="I94" i="3"/>
  <c r="J40" i="3"/>
  <c r="J88" i="3"/>
  <c r="C94" i="3"/>
  <c r="P88" i="3"/>
  <c r="C93" i="15"/>
  <c r="D93" i="15" s="1"/>
  <c r="F94" i="3"/>
  <c r="O40" i="3"/>
  <c r="N88" i="3"/>
  <c r="P94" i="3" l="1"/>
  <c r="J94" i="3"/>
  <c r="G94" i="3"/>
  <c r="N94" i="3"/>
  <c r="D94" i="3"/>
  <c r="O94" i="3"/>
  <c r="E96" i="2"/>
  <c r="D96" i="2"/>
  <c r="G96" i="2"/>
  <c r="C96" i="2"/>
  <c r="I96" i="2"/>
  <c r="F96" i="2"/>
  <c r="H96" i="2"/>
</calcChain>
</file>

<file path=xl/connections.xml><?xml version="1.0" encoding="utf-8"?>
<connections xmlns="http://schemas.openxmlformats.org/spreadsheetml/2006/main">
  <connection id="1" keepAlive="1" name="ThisWorkbookDataModel" description="Модель данных" type="5" refreshedVersion="6" minRefreshableVersion="5" background="1">
    <dbPr connection="Data Model Connection" command="Model" commandType="1"/>
    <olapPr sendLocale="1" rowDrillCount="1000"/>
  </connection>
</connections>
</file>

<file path=xl/sharedStrings.xml><?xml version="1.0" encoding="utf-8"?>
<sst xmlns="http://schemas.openxmlformats.org/spreadsheetml/2006/main" count="2485" uniqueCount="686">
  <si>
    <t>Классификация чрезвычайных ситуаций</t>
  </si>
  <si>
    <t>Количество, чел.</t>
  </si>
  <si>
    <t>Всего</t>
  </si>
  <si>
    <t>муниципальные</t>
  </si>
  <si>
    <t>межмуниципальные</t>
  </si>
  <si>
    <t>региональные</t>
  </si>
  <si>
    <t>межрегиональные</t>
  </si>
  <si>
    <t>федеральные</t>
  </si>
  <si>
    <t>погибло</t>
  </si>
  <si>
    <t>пострадало</t>
  </si>
  <si>
    <t>спасено</t>
  </si>
  <si>
    <t>Техногенные ЧС</t>
  </si>
  <si>
    <t>Природные ЧС</t>
  </si>
  <si>
    <t>Итого:</t>
  </si>
  <si>
    <t>Чрезвычайные ситуации по характеру и виду источников возникновения</t>
  </si>
  <si>
    <t>Техногенные ЧС, ед.</t>
  </si>
  <si>
    <t>Природные ЧС, ед.</t>
  </si>
  <si>
    <t>Общее количество ЧС, ед.</t>
  </si>
  <si>
    <t>Республика Бурятия</t>
  </si>
  <si>
    <t>Республика Саха (Якутия)</t>
  </si>
  <si>
    <t>Забайкальский край</t>
  </si>
  <si>
    <t>Камчатский край</t>
  </si>
  <si>
    <t>Приморский край</t>
  </si>
  <si>
    <t>Хабаровский край</t>
  </si>
  <si>
    <t>Амурская область</t>
  </si>
  <si>
    <t>Магаданская область</t>
  </si>
  <si>
    <t>Сахалинская область</t>
  </si>
  <si>
    <t>Еврейская автономная область</t>
  </si>
  <si>
    <t>Чукотский автономный округ</t>
  </si>
  <si>
    <t>Республика Алтай</t>
  </si>
  <si>
    <t>Республика Тыва</t>
  </si>
  <si>
    <t>Республика Хакасия</t>
  </si>
  <si>
    <t>Алтайский край</t>
  </si>
  <si>
    <t>Красноярский край</t>
  </si>
  <si>
    <t>Иркутская область</t>
  </si>
  <si>
    <t>Кемеровская область – Кузбасс</t>
  </si>
  <si>
    <t>Новосибирская область</t>
  </si>
  <si>
    <t>Омская область</t>
  </si>
  <si>
    <t>Томская область</t>
  </si>
  <si>
    <t>Курганская область</t>
  </si>
  <si>
    <t>Свердловская область</t>
  </si>
  <si>
    <t>Тюменская область</t>
  </si>
  <si>
    <t>Челябинская область</t>
  </si>
  <si>
    <t>Ханты-Мансийский автономный округ – Югра</t>
  </si>
  <si>
    <t>Ямало-Ненецкий автономный округ</t>
  </si>
  <si>
    <t>Республика Башкортостан</t>
  </si>
  <si>
    <t>Республика Марий Эл</t>
  </si>
  <si>
    <t>Республика Мордовия</t>
  </si>
  <si>
    <t>Республика Татарстан</t>
  </si>
  <si>
    <t>Удмуртская Республика</t>
  </si>
  <si>
    <t>Чувашская Республика</t>
  </si>
  <si>
    <t>Пермский край</t>
  </si>
  <si>
    <t>Кировская область</t>
  </si>
  <si>
    <t>Нижегородская область</t>
  </si>
  <si>
    <t>Оренбургская область</t>
  </si>
  <si>
    <t>Пензенская область</t>
  </si>
  <si>
    <t>Самарская область</t>
  </si>
  <si>
    <t>Саратовская область</t>
  </si>
  <si>
    <t>Ульяновская область</t>
  </si>
  <si>
    <t>Республика Адыгея</t>
  </si>
  <si>
    <t>Республика Калмыкия</t>
  </si>
  <si>
    <t>Республика Крым</t>
  </si>
  <si>
    <t>Краснодарский край</t>
  </si>
  <si>
    <t>Астраханская область</t>
  </si>
  <si>
    <t>Волгоградская область</t>
  </si>
  <si>
    <t>Ростовская область</t>
  </si>
  <si>
    <t>г. Севастополь</t>
  </si>
  <si>
    <t>Республика Дагестан</t>
  </si>
  <si>
    <t>Республика Ингушетия</t>
  </si>
  <si>
    <t>Кабардино-Балкарская Республика</t>
  </si>
  <si>
    <t>Карачаево-Черкесская Республика</t>
  </si>
  <si>
    <t>Республика Северная Осетия (Алания)</t>
  </si>
  <si>
    <t>Чеченская Республика</t>
  </si>
  <si>
    <t>Ставропольский край</t>
  </si>
  <si>
    <t>Республика Карелия</t>
  </si>
  <si>
    <t>Республика Коми</t>
  </si>
  <si>
    <t>Архангельская область</t>
  </si>
  <si>
    <t>Вологодская область</t>
  </si>
  <si>
    <t>Калининградская область</t>
  </si>
  <si>
    <t>Ленинградская область</t>
  </si>
  <si>
    <t>Мурманская область</t>
  </si>
  <si>
    <t>Новгородская область</t>
  </si>
  <si>
    <t>Псковская область</t>
  </si>
  <si>
    <t>Ненецкий автономный округ</t>
  </si>
  <si>
    <t>г. Санкт-Петербург</t>
  </si>
  <si>
    <t>Белгородская область</t>
  </si>
  <si>
    <t>Брянская область</t>
  </si>
  <si>
    <t>Владимирская область</t>
  </si>
  <si>
    <t>Воронежская область</t>
  </si>
  <si>
    <t>Ивановская область</t>
  </si>
  <si>
    <t>Калужская область</t>
  </si>
  <si>
    <t>Костромская область</t>
  </si>
  <si>
    <t>Курская область</t>
  </si>
  <si>
    <t>Липецкая область</t>
  </si>
  <si>
    <t>Московская область</t>
  </si>
  <si>
    <t>Орловская область</t>
  </si>
  <si>
    <t>Рязанская область</t>
  </si>
  <si>
    <t>Смоленская область</t>
  </si>
  <si>
    <t>Тамбовская область</t>
  </si>
  <si>
    <t>Тверская область</t>
  </si>
  <si>
    <t>Тульская область</t>
  </si>
  <si>
    <t>Ярославская область</t>
  </si>
  <si>
    <t>г. Москва</t>
  </si>
  <si>
    <t>Федеральный округ, субъект Российской Федерации</t>
  </si>
  <si>
    <t>Количество ЧС, ед.</t>
  </si>
  <si>
    <t>Сравнительная характеристика,%</t>
  </si>
  <si>
    <t>Погибло, чел.</t>
  </si>
  <si>
    <t>Пострадало, чел.</t>
  </si>
  <si>
    <t>Спасено, чел.</t>
  </si>
  <si>
    <t>Сравнительная характеристика, %</t>
  </si>
  <si>
    <t>Техногенные чрезвычайные ситуации</t>
  </si>
  <si>
    <t>Природные чрезвычайные ситуации</t>
  </si>
  <si>
    <t>ВСЕГО:</t>
  </si>
  <si>
    <t>ДФО</t>
  </si>
  <si>
    <t>ГРАФИКИ как в госдокладе</t>
  </si>
  <si>
    <t>СФО</t>
  </si>
  <si>
    <t>УФО</t>
  </si>
  <si>
    <t>ПФО</t>
  </si>
  <si>
    <t>ЮФО</t>
  </si>
  <si>
    <t>СКФО</t>
  </si>
  <si>
    <t>СЗФО</t>
  </si>
  <si>
    <t>ЦФО</t>
  </si>
  <si>
    <t>2022 г</t>
  </si>
  <si>
    <t>локальные</t>
  </si>
  <si>
    <t>2022 г.</t>
  </si>
  <si>
    <t>ВСЕГО на территории РФ:</t>
  </si>
  <si>
    <t>1 Транспортные аварии</t>
  </si>
  <si>
    <t>1.1 Аварии на метрополитене</t>
  </si>
  <si>
    <t>1.2 Аварии на железнодорожном транспорте</t>
  </si>
  <si>
    <t>1.3 Аварии на монорельсовом транспорте</t>
  </si>
  <si>
    <t>1.4 Аварии на подвесной и наземной канатной дороге транспортной</t>
  </si>
  <si>
    <t>1.5 Аварии на автомобильном транспорте</t>
  </si>
  <si>
    <t>1.6 Аварии на водном транспорте</t>
  </si>
  <si>
    <t>1.7 Аварии на воздушном транспорте</t>
  </si>
  <si>
    <t>1.8 Ракетно-космические катастрофы и аварии на стартовых комплексах и в населенных пунктах и вне стартовых комплексов и населенных пунктов</t>
  </si>
  <si>
    <t>2 Взрывы (в том числе с последующим горением) и (или) разрушения (обрушения) в зданиях и сооружениях</t>
  </si>
  <si>
    <t>2.1 Взрывы и (или) разрушения (обрушения) в зданиях, сооружениях, предназначенных для постоянного или длительного (круглосуточного) проживания людей</t>
  </si>
  <si>
    <t>2.7 Обнаружение (взрыв) взрывоопасного предмета</t>
  </si>
  <si>
    <t>2.2 Взрывы и (или) разрушения (обрушения) в зданиях, сооружениях, предназначенных для временного пребывания людей, преимущественно ритмичного характера (рабочий день, школьная смена, сеанс и т. д.)</t>
  </si>
  <si>
    <t>2.3 Взрывы и (или) разрушения (обрушения) в зданиях, сооружениях, предназначенных для производственного или складского назначения</t>
  </si>
  <si>
    <t>2.4 Взрывы и (или) разрушения (обрушения) открытых и крытых спортивно-физкультурных, зрелищных, торговых сооружений (стадионы, спортивно-развлекательные комплексы, рынки)</t>
  </si>
  <si>
    <t>2.5 Разрушения (обрушения) элементов транспортной и инженерной инфраструктуры (мосты и тоннели длиной 500 м и более)</t>
  </si>
  <si>
    <t>2.6 Аварии на объектах ведения горных работ (шахты, подземные и горные выработки)</t>
  </si>
  <si>
    <t>3 Аварии на системах жизнеобеспечения</t>
  </si>
  <si>
    <t>3.1 Аварии на объектах теплоснабжения</t>
  </si>
  <si>
    <t>3.3 Аварии на очистных сооружениях</t>
  </si>
  <si>
    <t>3.2 Аварии на объектах водоснабжения, электроэнергетики и газораспределительных систем</t>
  </si>
  <si>
    <t>4 Аварии с выбросом, сбросом опасных химических веществ</t>
  </si>
  <si>
    <t>4.3 Аварии с боевыми отравляющими веществами</t>
  </si>
  <si>
    <t>4.1 Аварии на транспорте с выбросом, разливом, рассыпанием, сбросом опасных химических веществ</t>
  </si>
  <si>
    <t>4.2 Аварии с выбросом, сбросом опасных химических веществ при производстве, переработке или хранении (захоронении, в том числе в водном объекте)</t>
  </si>
  <si>
    <t>5 Аварии с разливом (выбросом) нефти, нефтепродуктов</t>
  </si>
  <si>
    <t>5.1 Аварии с разливом (выбросом) нефти (нефтепродуктов) на объектах геологического изучения, разведки и добычи углеводородного сырья, а также при переработке, производстве, хранении, реализации углеводородного сырья и произведенной из него продукции</t>
  </si>
  <si>
    <t>6 Радиационные аварии с выбросом, сбросом, проливом, просыпом ядерных материалов, радиоактивных веществ и радиоактивных отходов</t>
  </si>
  <si>
    <t>6.1 Аварии на объектах использования атомной энергии с выбросом радиоактивных веществ (за исключением промплощадок объектов использования атомной энергии и территорий с существующим радиоактивным загрязнением за счет прошлой деятельности и аварий со статусом «зона отчуждения»)</t>
  </si>
  <si>
    <t>6.2 Загрязнение (возможное загрязнение) открытых источников водоснабжения (за исключением технических водоемов объектов использования атомной энергии и водоемов с существующим радиоактивным загрязнением за счет прошлой деятельности и аварий), обусловленное выбросом/сбросом радиоактивных веществ</t>
  </si>
  <si>
    <t>6.3 Радиологические аварийные ситуации с источниками ионизирующего излучения и при транспортировке радиоактивных веществ</t>
  </si>
  <si>
    <t>7 Аварии с выбросом (проливом, просыпом) патогенных для человека микроорганизмов</t>
  </si>
  <si>
    <t>7.1 Аварии с выбросом (проливом, просыпом) патогенных для человека микроорганизмов на предприятиях, транспорте и в научно-исследовательских учреждениях (лабораториях)</t>
  </si>
  <si>
    <t>8 Гидродинамические аварии</t>
  </si>
  <si>
    <t>8.1 Аварии на гидротехнических сооружениях</t>
  </si>
  <si>
    <r>
      <t>Чрезвыч</t>
    </r>
    <r>
      <rPr>
        <b/>
        <sz val="10"/>
        <color rgb="FF000000"/>
        <rFont val="Times New Roman"/>
        <family val="1"/>
        <charset val="204"/>
      </rPr>
      <t>айные ситуации по характеру и виду источников возникновения</t>
    </r>
  </si>
  <si>
    <t>Сравнительная характеристика,           %</t>
  </si>
  <si>
    <t>1 Опасные геофизические явления</t>
  </si>
  <si>
    <t>1.1 Вулканическое извержение</t>
  </si>
  <si>
    <t>1.2 Землетрясение</t>
  </si>
  <si>
    <t>2 Опасные геологические явления</t>
  </si>
  <si>
    <t>2.1 Оползни, обвалы, осыпи</t>
  </si>
  <si>
    <t>2.2 Карст, суффозия, просадка в лесовых грунтах</t>
  </si>
  <si>
    <t>2.3 Овражная (плоскостная) эрозия</t>
  </si>
  <si>
    <t>3 Опасные метеорологические явления</t>
  </si>
  <si>
    <t>3.3 Сильный ливень</t>
  </si>
  <si>
    <t>3.4 Продолжительный дождь</t>
  </si>
  <si>
    <t>3.5 Очень сильный снег</t>
  </si>
  <si>
    <t>3.6 Сильный мороз</t>
  </si>
  <si>
    <t>3.7 Сильная жара</t>
  </si>
  <si>
    <t>3.8 Крупный град</t>
  </si>
  <si>
    <t>3.9 Сильная метель</t>
  </si>
  <si>
    <t>3.10 Сильная пыльная (песчаная) буря</t>
  </si>
  <si>
    <t>3.11 Сильное гололедно-изморозевое отложение</t>
  </si>
  <si>
    <t>3.12 Сильный туман</t>
  </si>
  <si>
    <t>3.13 Заморозки</t>
  </si>
  <si>
    <t>3.14 Засуха атмосферная</t>
  </si>
  <si>
    <t>3.15 Засуха почвенная</t>
  </si>
  <si>
    <t>3.16 Сход снежных лавин</t>
  </si>
  <si>
    <t>3.17 Комплекс неблагоприятных явлений</t>
  </si>
  <si>
    <t>3.2 Очень сильный дождь (мокрый снег, дождь со снегом)</t>
  </si>
  <si>
    <t>3.1 Очень сильный ветер, ураганный ветер, шквал, смерч</t>
  </si>
  <si>
    <t>2.4 Криогенное пучение и растрескивание, термо- карст, куру мы</t>
  </si>
  <si>
    <t>4 Морские опасные гидрометеорологические явления</t>
  </si>
  <si>
    <t>4.1 Цунами</t>
  </si>
  <si>
    <t>4.2 Очень сильный ветер, ураганный ветер (ураган)</t>
  </si>
  <si>
    <t>4.3 Сгонно-нагонные явления</t>
  </si>
  <si>
    <t>4.4 Сильное волнение</t>
  </si>
  <si>
    <t>5 Опасные гидрологические явления</t>
  </si>
  <si>
    <t>5.2 Низкие уровни воды (низкая межень)</t>
  </si>
  <si>
    <t>5.3 Раннее ледообразование</t>
  </si>
  <si>
    <t>5.4 Сель</t>
  </si>
  <si>
    <t>5.5 Абразия</t>
  </si>
  <si>
    <t>5.6 Речная эрозия</t>
  </si>
  <si>
    <t>5.1 Высокие уровни воды (половодье, зажор, затор, дождевой паводок)</t>
  </si>
  <si>
    <t>6 Опасные явления в лесах</t>
  </si>
  <si>
    <t>6.2 Очаги вредителей леса</t>
  </si>
  <si>
    <t>6.1 Лесные пожары и другие ландшафтные (природные) пожары</t>
  </si>
  <si>
    <t>7 Гелиогеофизические явления</t>
  </si>
  <si>
    <t>7.1 Сильное возмущение ионосферы с нарушением коротковолновой связи</t>
  </si>
  <si>
    <t>7.2 Сильное возмущение радиационной обстановки в околоземном космическом пространстве</t>
  </si>
  <si>
    <t>8 Космические опасности</t>
  </si>
  <si>
    <t>8.1 Астероидно-кометная опасность</t>
  </si>
  <si>
    <t>2 Эпизоотии</t>
  </si>
  <si>
    <t>3 Эпифитотии</t>
  </si>
  <si>
    <t>1 Эпидемии, массовые отравления</t>
  </si>
  <si>
    <t>Природные чрезвычайные ситуации, связанные с биологической опасностью</t>
  </si>
  <si>
    <t>Материальный ущерб, тыс. руб.</t>
  </si>
  <si>
    <t>2.4 Криогенное пучение и растрескивание, термокарст, курумы</t>
  </si>
  <si>
    <t>Примечание:</t>
  </si>
  <si>
    <t>1. Чрезвычайная ситуация в лесах, возникшая на территориях Республики Саха (Якутия) и Хабаровского края, отнесена к чрезвычайной ситуации в лесах федерального характера (протокол заочного заседания Правительственной комиссии по предупреждению и ликвидации чрезвычайных ситуаций и обеспечению пожарной безопасности от 18-19 июля 2022 года № 4).
2. Чрезвычайная ситуация, сложившаяся на территориях Забайкальского края и Амурской области в связи с прошедшими опасными и неблагоприятными метеорологическими явлениями, отнесена к чрезвычайной ситуации межрегионального характера (протокол заочного заседания Правительственной комиссии по предупреждению и ликвидации чрезвычайных ситуаций и обеспечению пожарной безопасности от 11-12 августа 2022 года № 5).
3. Чрезвычайная ситуация в лесах, возникшая на территориях Республики Марий Эл и Нижегородской области, отнесена к чрезвычайной ситуации в лесах межрегионального характера (протокол заочного заседания Правительственной комиссии по предупреждению и ликвидации чрезвычайных ситуаций и обеспечению пожарной безопасности от 24 августа 2022 года № 6).</t>
  </si>
  <si>
    <t>2.4 Криогенное пучение и растрескивание, термо- карст, курумы</t>
  </si>
  <si>
    <t>*В 2021 году произошли 2 чрезвычайные ситуации муниципального характера, обусловленные отрывом прибрежных льдов, в результате которых спасены 14 человек.</t>
  </si>
  <si>
    <t>Прирост/снижение 
по колчичеству ЧС</t>
  </si>
  <si>
    <t>Прирост/снижение 
по погибшим</t>
  </si>
  <si>
    <t>Прирост/снижение 
по спасенным</t>
  </si>
  <si>
    <t>*В 2021 году произошли 2 чрезвычайные ситуации муниципального характера, обусловленные отрывом прибрежных льдов, в результате которых ущерб составил 100 тыс. руб.</t>
  </si>
  <si>
    <t>2023 г</t>
  </si>
  <si>
    <t>стр 14</t>
  </si>
  <si>
    <t>стр 11</t>
  </si>
  <si>
    <t>рис 1.2</t>
  </si>
  <si>
    <t>стр 12 рис 1,5</t>
  </si>
  <si>
    <t>2023 г.</t>
  </si>
  <si>
    <t>стр 29</t>
  </si>
  <si>
    <t>стр 32</t>
  </si>
  <si>
    <t>Количество зарегистрированных пожаров, ед.</t>
  </si>
  <si>
    <t>Количество людей, погибших в результате пожаров, ед.</t>
  </si>
  <si>
    <t>Количество людей, травмированных в результате пожаров, ед.</t>
  </si>
  <si>
    <t>Количество людей, спасенных при пожарах, ед.</t>
  </si>
  <si>
    <t>Прямой материальный ущерб от пожаров, тыс. руб.</t>
  </si>
  <si>
    <t>Инфекционные заболевания и отравления людей</t>
  </si>
  <si>
    <t>Количество групповых заболеваний, ед.</t>
  </si>
  <si>
    <t>Количество неблагополучных районов, ед.</t>
  </si>
  <si>
    <t>Число потерь населения, чел.</t>
  </si>
  <si>
    <t>заболели</t>
  </si>
  <si>
    <t>умерли</t>
  </si>
  <si>
    <t>Инфекционные</t>
  </si>
  <si>
    <t>Паразитарные</t>
  </si>
  <si>
    <t>Пищевая токсикоинфекция</t>
  </si>
  <si>
    <t>Прочие отравления</t>
  </si>
  <si>
    <t>ВСЕГО                                            на территории  Российской       Федерации:</t>
  </si>
  <si>
    <t>ВСЕГО на территории Российской Федерации:</t>
  </si>
  <si>
    <t>Федеральный округ</t>
  </si>
  <si>
    <t>Количество зарегистрированных случаев /неблагополучных пунктов</t>
  </si>
  <si>
    <t>Количество животных, птиц, тыс. голов</t>
  </si>
  <si>
    <t>уничтожены (пали)</t>
  </si>
  <si>
    <t>Бешенство диких животных (случаев)</t>
  </si>
  <si>
    <t>Бешенство сельскохозяйственных животных (случаев)</t>
  </si>
  <si>
    <t>Высокопатогенный грипп птиц (случаев)</t>
  </si>
  <si>
    <t>Ящур КРС (случаев)</t>
  </si>
  <si>
    <t>Лептоспироз КРС (небл. пунктов)</t>
  </si>
  <si>
    <t>Лептоспироз МРС (небл. пунктов)</t>
  </si>
  <si>
    <t>Бруцеллез КРС (небл. пунктов)</t>
  </si>
  <si>
    <t>Бруцеллез МРС (небл. пунктов)</t>
  </si>
  <si>
    <t>Пастереллез КРС (небл. пунктов)</t>
  </si>
  <si>
    <t>Пастереллез МРС (небл. пунктов)</t>
  </si>
  <si>
    <t>Некробактериоз КРС (небл. пунктов)</t>
  </si>
  <si>
    <t>Африканская чума свиней, домашние свиньи (случаев)</t>
  </si>
  <si>
    <t>Африканская чума свиней, дикие кабаны (случаев)</t>
  </si>
  <si>
    <t>Сальмонеллез КРС (небл. пунктов)</t>
  </si>
  <si>
    <t>Инфекционный ринохеит КРС (небл. пунктов)</t>
  </si>
  <si>
    <t>Эмфизематозный карбункул КРС (небл. пунктов)</t>
  </si>
  <si>
    <t>Лейкоз КРС (небл. пунктов)</t>
  </si>
  <si>
    <t>Листериоз КРС (небл. пунктов)</t>
  </si>
  <si>
    <t>Листериоз МРС (небл. пунктов)</t>
  </si>
  <si>
    <t>Болезнь Ньюкасла (небл. пунктов)</t>
  </si>
  <si>
    <t>Трихинеллез диких животных (небл. пунктов)</t>
  </si>
  <si>
    <t>Хламидиоз КРС (небл. пунктов)</t>
  </si>
  <si>
    <t>Орнитоз птиц (небл. пунктов)</t>
  </si>
  <si>
    <t>Некробактериоз северных домашних оленей (небл. пунктов)</t>
  </si>
  <si>
    <t>Заразный узелковый дерматит КРС (случаев)</t>
  </si>
  <si>
    <t>ИТОГО</t>
  </si>
  <si>
    <t>ВСЕГО на территории Российской Федерации</t>
  </si>
  <si>
    <t>Болезни                    и вредители леса</t>
  </si>
  <si>
    <t>Количество чрезвычайных ситуаций (очагов), ед.</t>
  </si>
  <si>
    <t>Площадь очагов, тыс. га</t>
  </si>
  <si>
    <t>Центральный федеральный округ</t>
  </si>
  <si>
    <t>Болезни леса</t>
  </si>
  <si>
    <t>Вредители леса</t>
  </si>
  <si>
    <t>Северо-Западный федеральный округ</t>
  </si>
  <si>
    <t>Приволжский федеральный округ</t>
  </si>
  <si>
    <t>Южный федеральный округ</t>
  </si>
  <si>
    <t>Северо-Кавказский федеральный округ</t>
  </si>
  <si>
    <t>Уральский федеральный округ</t>
  </si>
  <si>
    <t>Сибирский федеральный округ</t>
  </si>
  <si>
    <t>Дальневосточный федеральный округ</t>
  </si>
  <si>
    <t>(более 100 га по видам болезней)</t>
  </si>
  <si>
    <t>(более 100 га по видам вредителей)</t>
  </si>
  <si>
    <t>Количество зарегистрированных водных проишествий, ед.</t>
  </si>
  <si>
    <t>Количество людей, погибших в результате  водных проишествий, ед.</t>
  </si>
  <si>
    <t>Количество людей, травмированных в результате  водных проишествий, ед.</t>
  </si>
  <si>
    <t>Количество людей, спасенных при водных проишествиях, ед.</t>
  </si>
  <si>
    <t>водн. Чп</t>
  </si>
  <si>
    <t>Количество зарегистрированных дорожно-транспортных проишествий, ед.</t>
  </si>
  <si>
    <t>Количество людей, погибших в результате дорожно-транспортных проишествиях, ед.</t>
  </si>
  <si>
    <t>Количество людей, травмированных в дорожно-транспортных проишествиях, ед.</t>
  </si>
  <si>
    <t>Количество людей, спасенных при дорожно-транспортных проишествиях, ед.</t>
  </si>
  <si>
    <t>Наименование инфекционных и наиболее опаных заболеваний животных и птиц</t>
  </si>
  <si>
    <t>Количество раз реагирования оперативных групп</t>
  </si>
  <si>
    <t>построен ортофотоплан местности</t>
  </si>
  <si>
    <t>выявлено термических точек</t>
  </si>
  <si>
    <t>подготовлено высокодетальных космических снимков</t>
  </si>
  <si>
    <t xml:space="preserve">            по лесопожарной обстановке (в т.ч.)</t>
  </si>
  <si>
    <t xml:space="preserve">            по паводсковой обстановке (в т.ч.)</t>
  </si>
  <si>
    <t>моделей подготовлено</t>
  </si>
  <si>
    <t>прогнозов подготовлено</t>
  </si>
  <si>
    <t>Деятельность ЦУКС</t>
  </si>
  <si>
    <t>предложения по внедрению новых иноваций в области тушения пожаров, проведению поиского-спасательных работ</t>
  </si>
  <si>
    <t>образование</t>
  </si>
  <si>
    <t>лечение, оказание медецинской помощи, санитарная эвакуация пострадавших. Безопасность туризма</t>
  </si>
  <si>
    <t>прохождение службы (прохождение военной, государственной службы, продление контракта, увольнение со службы, награждение государственными наградами)</t>
  </si>
  <si>
    <t>законодательтсво РФ (вопросы по нормативному регулированию, законодательной и нициативе своего ведения, исполнения судебных решений)</t>
  </si>
  <si>
    <t>жилищные вопросы (предоставление субсидий, ЕСВ, ГЖС, служебного жилья, выселение)</t>
  </si>
  <si>
    <t>о возможных фактах коррупции, противоправного поведения сотрудников и обжалование действий (бездействий) должностных лиц МЧС России)</t>
  </si>
  <si>
    <t>гражданская оборона (содержание и обслуживание ЗСГО)</t>
  </si>
  <si>
    <t>признание участником ликвидации, выдача удостоверений, социальная защитапострадавших от радиактивного заражения (ЧАЭС, Семипалатинский полигон, ПО "Маяк", подразделение особого риска и т.п.)</t>
  </si>
  <si>
    <t>трудовые отношения (трудоустройство, выплата зарплаты, заключение/прекращение трудового контракта/договора</t>
  </si>
  <si>
    <t>комунальное хозяйство (содержание общего имущества, ограждающие конструкции, места общего пользования, придомовая территория)</t>
  </si>
  <si>
    <t>деятельность и принимаемые решения МЧС России (отдельные вопросы касающиеся деятельности МЧС России)</t>
  </si>
  <si>
    <t>предупреждение и преодоление ЧС</t>
  </si>
  <si>
    <t>вопросы, связанные с рассмотрением обращений граждан (прекращение рассмотрения обращения, результаты рассмотрения обращения, благодарности, ознакомление с документами и материалами касающимися рассмотрения обращения</t>
  </si>
  <si>
    <t>запросы архивных данных</t>
  </si>
  <si>
    <t>деятельность ГИМС</t>
  </si>
  <si>
    <t>работа пропивопожарной служды и соблюдение требований пожарной безопасности</t>
  </si>
  <si>
    <t>Доля, %</t>
  </si>
  <si>
    <t>детализация тематик обращения граждан</t>
  </si>
  <si>
    <t>центральный аппарат</t>
  </si>
  <si>
    <t>территориальные органы</t>
  </si>
  <si>
    <t>СМИ</t>
  </si>
  <si>
    <t>социальные сети</t>
  </si>
  <si>
    <t>Детализация способов информирования о ЧС</t>
  </si>
  <si>
    <t>Итого</t>
  </si>
  <si>
    <t>Яндекс.Дзен</t>
  </si>
  <si>
    <t>Rutube</t>
  </si>
  <si>
    <t>VK видео</t>
  </si>
  <si>
    <t>Viber</t>
  </si>
  <si>
    <t>Twitter</t>
  </si>
  <si>
    <t>Telegram</t>
  </si>
  <si>
    <t>Likee</t>
  </si>
  <si>
    <t>Tik-tok</t>
  </si>
  <si>
    <t>распостранено пресс-релизов</t>
  </si>
  <si>
    <t>распостранено комментарие и (или) интервью (всего)</t>
  </si>
  <si>
    <t>в видеоформате</t>
  </si>
  <si>
    <t>в аудиоформате</t>
  </si>
  <si>
    <t>Кол-во информац-ых сообщений о ЧС</t>
  </si>
  <si>
    <t>OK</t>
  </si>
  <si>
    <t>VK</t>
  </si>
  <si>
    <t>Распределение публикаций на официальных страницах в социальных сетях                   (в учреждениях)</t>
  </si>
  <si>
    <t>Распределение публикаций на официальных страницах в социальных сетях                   (в территориальных органах)</t>
  </si>
  <si>
    <t>Распределение публикаций на официальных страницах в социальных сетях                   (в подразделениях ЦА)</t>
  </si>
  <si>
    <t>фотовыставки</t>
  </si>
  <si>
    <t>фотоальбомы</t>
  </si>
  <si>
    <t>книги</t>
  </si>
  <si>
    <t>брошюры</t>
  </si>
  <si>
    <t>ьуклеты</t>
  </si>
  <si>
    <t>листовки</t>
  </si>
  <si>
    <t>инфографика</t>
  </si>
  <si>
    <t>прочая печатная продукция</t>
  </si>
  <si>
    <t>газеты</t>
  </si>
  <si>
    <t>журналы</t>
  </si>
  <si>
    <t>аудиовизуальные произведения</t>
  </si>
  <si>
    <t>учреждения</t>
  </si>
  <si>
    <t xml:space="preserve">Распределение производства полиграфической продукции и аудиовизуальных произведений </t>
  </si>
  <si>
    <t>Распределение публикаций на официальных страницах в социальных сетях</t>
  </si>
  <si>
    <t>Распределение публикаций в разделе "Пресс-центр" интернет-портала</t>
  </si>
  <si>
    <t>организовано блог-туров с лидерами мнений</t>
  </si>
  <si>
    <t>количество вовлеченных блогеров</t>
  </si>
  <si>
    <t>Распределение публикаций на официальных страницах в социальных сетях                        (в учреждениях)</t>
  </si>
  <si>
    <t>Распределение доли источников представления ответов на запросы СМИ</t>
  </si>
  <si>
    <t>сетевые</t>
  </si>
  <si>
    <t>печатные</t>
  </si>
  <si>
    <t>радио</t>
  </si>
  <si>
    <t>ТВ</t>
  </si>
  <si>
    <t>Распределение доли информационных материалов по видам СМИ</t>
  </si>
  <si>
    <t>онлайн-трансляции</t>
  </si>
  <si>
    <t>пресс-конференции,</t>
  </si>
  <si>
    <t>подкасты</t>
  </si>
  <si>
    <t>пресс-конференции</t>
  </si>
  <si>
    <t>Дополнительные каналы распостронения информации</t>
  </si>
  <si>
    <t>Распределение доли информационных материалов по источникам информации в СМИ</t>
  </si>
  <si>
    <t xml:space="preserve">   техники, ед.</t>
  </si>
  <si>
    <t xml:space="preserve">   личный состав, чел.</t>
  </si>
  <si>
    <t xml:space="preserve">   водолазы</t>
  </si>
  <si>
    <t xml:space="preserve">   кинологи</t>
  </si>
  <si>
    <t>К ликвидации ЧС привлекалось:</t>
  </si>
  <si>
    <t>Спасенных</t>
  </si>
  <si>
    <t>ИТОГО:</t>
  </si>
  <si>
    <t>на ложные вызовы</t>
  </si>
  <si>
    <t>на ПСР в лесах и горах</t>
  </si>
  <si>
    <t>на ПСР на водных объектах</t>
  </si>
  <si>
    <t>на техногенные, в т.ч ДТП</t>
  </si>
  <si>
    <t>на бытовые проишествия</t>
  </si>
  <si>
    <t>23 стр НЦУКС</t>
  </si>
  <si>
    <t>проведено мероприятий</t>
  </si>
  <si>
    <t xml:space="preserve">единиц техники </t>
  </si>
  <si>
    <t>гражданского персонала</t>
  </si>
  <si>
    <t>военослужащих</t>
  </si>
  <si>
    <t>СЦ МЧС России и Рузский ЦОПУ</t>
  </si>
  <si>
    <t>Задействовано формирований</t>
  </si>
  <si>
    <t>Оказана помощь</t>
  </si>
  <si>
    <t xml:space="preserve">   на ПСР</t>
  </si>
  <si>
    <t xml:space="preserve">   на ДТП</t>
  </si>
  <si>
    <t xml:space="preserve">   на техногенные пожары</t>
  </si>
  <si>
    <t xml:space="preserve">   на бытовые проишествия</t>
  </si>
  <si>
    <t xml:space="preserve">   на прочие проишествия</t>
  </si>
  <si>
    <t>спасательные воинские формирования МЧС России</t>
  </si>
  <si>
    <t xml:space="preserve">   других ВОП</t>
  </si>
  <si>
    <t xml:space="preserve">   инженерный боеприпас</t>
  </si>
  <si>
    <t xml:space="preserve">   артиллерийских снарядов</t>
  </si>
  <si>
    <t xml:space="preserve">   авиационных бомб</t>
  </si>
  <si>
    <t>Работа пиротехнических подразделений МЧС России</t>
  </si>
  <si>
    <t>технические работы проведены</t>
  </si>
  <si>
    <t>профилактических обследований обслуживаемых предприятий</t>
  </si>
  <si>
    <t xml:space="preserve"> в т.ч. в подземных условиях </t>
  </si>
  <si>
    <t>оказаний медицинской помощи</t>
  </si>
  <si>
    <t>спасенных</t>
  </si>
  <si>
    <t>ликвидированных аварий</t>
  </si>
  <si>
    <t>Военизированные горноспасательные части МЧС России</t>
  </si>
  <si>
    <t>единиц техники</t>
  </si>
  <si>
    <t>фактическая численность группировки сил</t>
  </si>
  <si>
    <t xml:space="preserve">Противофонтанные военизированные части </t>
  </si>
  <si>
    <t>Зайдествовано</t>
  </si>
  <si>
    <t xml:space="preserve">             выдано разрешений</t>
  </si>
  <si>
    <t xml:space="preserve">             выдано запрещений</t>
  </si>
  <si>
    <t xml:space="preserve">             выдано предписаний</t>
  </si>
  <si>
    <t xml:space="preserve">             выявлено нарушений</t>
  </si>
  <si>
    <t>профилактических обследования обслуживаемых предприятий</t>
  </si>
  <si>
    <t>согласований планов ликвидации аварий</t>
  </si>
  <si>
    <t>учебно-тренировочных занятий</t>
  </si>
  <si>
    <t xml:space="preserve">технических работ на устьях скважин </t>
  </si>
  <si>
    <t>Работы по ликвидации газоподонефтепроявления и октрытых фонтанов</t>
  </si>
  <si>
    <t>Проведено</t>
  </si>
  <si>
    <t>Противофонтанные военизированные части МЧС России</t>
  </si>
  <si>
    <t>массовых профилактических мероприятий</t>
  </si>
  <si>
    <t>протоколов об административных правонаружениях</t>
  </si>
  <si>
    <t>Предписаний по устранению нарушений требований пожарной безопасности</t>
  </si>
  <si>
    <t>нарушений требований пожарной безопасности</t>
  </si>
  <si>
    <t>контрольных (надзорных мероприятий)</t>
  </si>
  <si>
    <t>Спасены на пожарах, чел</t>
  </si>
  <si>
    <t>информационных материалов размещено в социальных сетях</t>
  </si>
  <si>
    <t>человек обучено мерам пожарной безопасности</t>
  </si>
  <si>
    <t>практических отработок по эвакуации людей из зданий и действий в случае ЧС, отработок оперативных планов и карточек тушения пожаров</t>
  </si>
  <si>
    <t>количество пожаров на объектах и ЗАТО</t>
  </si>
  <si>
    <t>2023г.</t>
  </si>
  <si>
    <t>СПО ФПС</t>
  </si>
  <si>
    <t>cмотр-конкурс "Лучшая КПЭР МЧС России"</t>
  </si>
  <si>
    <t>rонкурс "Лучший психолог МЧС России"</t>
  </si>
  <si>
    <t>научно-практическая конференция "Психология экстремальных ситуаций. Теория и практика"</t>
  </si>
  <si>
    <t xml:space="preserve">       участников</t>
  </si>
  <si>
    <t xml:space="preserve">       команд</t>
  </si>
  <si>
    <t>Профессиональная лига</t>
  </si>
  <si>
    <t>Студенческая лига</t>
  </si>
  <si>
    <t>Всеросийские соревнования "Человеческий фактор"</t>
  </si>
  <si>
    <t xml:space="preserve">      охват населения</t>
  </si>
  <si>
    <t>добровольцев</t>
  </si>
  <si>
    <t xml:space="preserve">      мероприятий</t>
  </si>
  <si>
    <t>добровольческих отрядов</t>
  </si>
  <si>
    <t>Студенческая добровольческая лига</t>
  </si>
  <si>
    <t>Количество привлечений психологов</t>
  </si>
  <si>
    <t>Пожаров самостоятельно потушено</t>
  </si>
  <si>
    <t>пожарных</t>
  </si>
  <si>
    <t>подразделений</t>
  </si>
  <si>
    <t>В ДОБРОВОЛЬНОЙ 
ПОЖАРНОЙ ОХРАНЕ:</t>
  </si>
  <si>
    <t>человек</t>
  </si>
  <si>
    <t>бесед по вопросам соблюдения правил безопасности при возникновении ЧС (пожаров) и безопасности жизнедеятельности</t>
  </si>
  <si>
    <t>обследований многоквартирных жилых домов и придомовых территорий</t>
  </si>
  <si>
    <t>подворовых обхода в сельских населенных пунктах</t>
  </si>
  <si>
    <t>ПРОВЕДЕНИЕ ПРОФИЛАКТИЧЕСКИХ МЕРОПРИЯТИЙ:</t>
  </si>
  <si>
    <t>кол-во раз</t>
  </si>
  <si>
    <t>участий в тушении пожаров</t>
  </si>
  <si>
    <t>устранено нарушений требований и реализации полномочий в области защиты населения и территорий от ЧС</t>
  </si>
  <si>
    <t>выявлено нарушений требований и реализации полномочий в области защиты населения и территорий от ЧС</t>
  </si>
  <si>
    <t>выдано предписаний об устранении нарушений обязательных требований и реализации полномочий в области защиты населения и территорий от ЧС</t>
  </si>
  <si>
    <t>проведено плановых и внеплановых контрольных (надзорных) мероприятий</t>
  </si>
  <si>
    <t>Надзор в области защиты населения и территорий от чрезвычайных ситуаций</t>
  </si>
  <si>
    <t>помывка человек, чел</t>
  </si>
  <si>
    <t xml:space="preserve">вывезено строительного мусора, </t>
  </si>
  <si>
    <t xml:space="preserve">разобрано завалов на площади, </t>
  </si>
  <si>
    <t>очищена и подвезена техническая вода, т</t>
  </si>
  <si>
    <t>доставлено питьевой воды, т</t>
  </si>
  <si>
    <t>очищена территория, га</t>
  </si>
  <si>
    <t>взрывоопасных предметов, ед</t>
  </si>
  <si>
    <t>Аэромобильными группировками МЧС России 
проводятся аварийно-восстановительные работы</t>
  </si>
  <si>
    <t>привлечено человек</t>
  </si>
  <si>
    <t>колонн МЧС России</t>
  </si>
  <si>
    <t>Оказание гуманитарной помощи</t>
  </si>
  <si>
    <t xml:space="preserve">          вертолетов</t>
  </si>
  <si>
    <t xml:space="preserve">          самолетов</t>
  </si>
  <si>
    <t xml:space="preserve">воздушное судно на вооружении МЧС России </t>
  </si>
  <si>
    <t xml:space="preserve">авиационно-спасательных центров </t>
  </si>
  <si>
    <t>авиационно-спасательная компания</t>
  </si>
  <si>
    <t>Авиационное обеспечение</t>
  </si>
  <si>
    <t>воды, т</t>
  </si>
  <si>
    <t>сливов, ед</t>
  </si>
  <si>
    <t>При тушении пожаров выполнено</t>
  </si>
  <si>
    <t>доставлено тонн грузов</t>
  </si>
  <si>
    <t xml:space="preserve">       человек для ликвидации ЧС</t>
  </si>
  <si>
    <t xml:space="preserve">       человек для ликвидации паводков</t>
  </si>
  <si>
    <t xml:space="preserve">        человек для ликвидации пожаров</t>
  </si>
  <si>
    <t xml:space="preserve">        человек по задачам МЧС России</t>
  </si>
  <si>
    <t>ИТОГО доставлено человек</t>
  </si>
  <si>
    <t>Рейсов санитарной эвакуации</t>
  </si>
  <si>
    <t>Общий налет, ч</t>
  </si>
  <si>
    <t>Полетов</t>
  </si>
  <si>
    <t>Мероприятия авиационного обеспечения в системе МЧС России</t>
  </si>
  <si>
    <t xml:space="preserve">комбинированного типа </t>
  </si>
  <si>
    <t xml:space="preserve">вертолетного типа </t>
  </si>
  <si>
    <t xml:space="preserve">самолетного типа </t>
  </si>
  <si>
    <t xml:space="preserve">беспилотных авиационных систем на вооружении МЧС России </t>
  </si>
  <si>
    <t>специалистов БАС</t>
  </si>
  <si>
    <t>ИТОГО привлекалось</t>
  </si>
  <si>
    <t>проведение ПСР</t>
  </si>
  <si>
    <t>мониторинг ФАД</t>
  </si>
  <si>
    <t>контроль выхода людей на лед и в иных целях</t>
  </si>
  <si>
    <t>для ликвидации ЧС</t>
  </si>
  <si>
    <t>контроль проведения аварийно-восстановительных работ</t>
  </si>
  <si>
    <t>мониторинга паводковой обстановки и водных объектов</t>
  </si>
  <si>
    <t>мониторинг лесопожарной обстановки</t>
  </si>
  <si>
    <t>вылеты БАС</t>
  </si>
  <si>
    <t>съемка и оцифровка, км3</t>
  </si>
  <si>
    <t>применение для аэрофотосъемки с топографической привязкой к местности, ед</t>
  </si>
  <si>
    <t>общий налет, ч.</t>
  </si>
  <si>
    <t>полетов, ед.</t>
  </si>
  <si>
    <t>Применение беспилотных авиационных систем</t>
  </si>
  <si>
    <t>не определен</t>
  </si>
  <si>
    <t>нет данных</t>
  </si>
  <si>
    <t>тут надо макрос</t>
  </si>
  <si>
    <t>относительно неприемлимый</t>
  </si>
  <si>
    <t>относительно допустимый</t>
  </si>
  <si>
    <t>относительно оптимальный</t>
  </si>
  <si>
    <t>индивидуальный риск в виде (Х,ХХх10-5     стр 105</t>
  </si>
  <si>
    <t>Обобщенный уровень потенциальных опасностей</t>
  </si>
  <si>
    <t>Уровень потенциальных опасностей</t>
  </si>
  <si>
    <t>по данным росстата емисс</t>
  </si>
  <si>
    <t>Числ. Населения</t>
  </si>
  <si>
    <t>допустимый (ГОСТ Р 22.10.02)</t>
  </si>
  <si>
    <t>индивидуальный риск</t>
  </si>
  <si>
    <t>на водных объектах</t>
  </si>
  <si>
    <t>в ЧС</t>
  </si>
  <si>
    <t>при пожарах</t>
  </si>
  <si>
    <t>Показатели риска</t>
  </si>
  <si>
    <t>Количество погибших, чел.</t>
  </si>
  <si>
    <t>годы</t>
  </si>
  <si>
    <t xml:space="preserve">   </t>
  </si>
  <si>
    <t>IV класс</t>
  </si>
  <si>
    <t>рис 1.57</t>
  </si>
  <si>
    <t>III класс</t>
  </si>
  <si>
    <t>II класс</t>
  </si>
  <si>
    <t>I класс</t>
  </si>
  <si>
    <t>Распределение ГТС по классам опасности</t>
  </si>
  <si>
    <t>водохозяйственного назначения</t>
  </si>
  <si>
    <t>энергетики</t>
  </si>
  <si>
    <t>промышленности</t>
  </si>
  <si>
    <t>Распределение ГТС по видам</t>
  </si>
  <si>
    <t>линии электропередачи</t>
  </si>
  <si>
    <t>тепловые сети</t>
  </si>
  <si>
    <t>электрические подстанции</t>
  </si>
  <si>
    <t>котельные</t>
  </si>
  <si>
    <t xml:space="preserve">гидроэлектростанции </t>
  </si>
  <si>
    <t>малые (технологические) электростанции</t>
  </si>
  <si>
    <t>газотурбинные (газопоршневые) электростанции</t>
  </si>
  <si>
    <t>тепловые электростанции</t>
  </si>
  <si>
    <t>рис 1.55</t>
  </si>
  <si>
    <t>Распределение объектов энергетики по видам</t>
  </si>
  <si>
    <t>Распреление объектов газораспределения и газопотребления по классам опасности</t>
  </si>
  <si>
    <t>Распреление объектов нефте- и газодобычи по классам опасности</t>
  </si>
  <si>
    <t>рис 1.54</t>
  </si>
  <si>
    <t>рис 1.53</t>
  </si>
  <si>
    <t>Распреление объектов нефтехимической и нефтеперерабатывающей промышленности по классам опасности</t>
  </si>
  <si>
    <t>Распределение объектов ОПК по классам опасности</t>
  </si>
  <si>
    <t>прочие</t>
  </si>
  <si>
    <t>железнодорожных транспортных средств</t>
  </si>
  <si>
    <t>автомобильных транспортных средств</t>
  </si>
  <si>
    <t>Распределение объектов транспортирования опасных веществ по видам</t>
  </si>
  <si>
    <t>прочие объекты транспортирования</t>
  </si>
  <si>
    <t>рис 1.52</t>
  </si>
  <si>
    <t>объекты транспортирования железнодорожным транспортом</t>
  </si>
  <si>
    <t>рис 1.51</t>
  </si>
  <si>
    <t>объекты транспортирования автомобильным транспортом</t>
  </si>
  <si>
    <t>Распределение объектов химического комплекса по отрослям</t>
  </si>
  <si>
    <t>другие производства</t>
  </si>
  <si>
    <t>склады, базы хранения и отгрузки ОХВ</t>
  </si>
  <si>
    <t>маслоэкстракционные производства</t>
  </si>
  <si>
    <t xml:space="preserve">спиртовые производства </t>
  </si>
  <si>
    <t>криогенно-вакуумной техники</t>
  </si>
  <si>
    <t>аммиачно-холодильные установки</t>
  </si>
  <si>
    <t>объекты целлюлозно-бумажных производств</t>
  </si>
  <si>
    <t>рис 1.50</t>
  </si>
  <si>
    <t>рис 1.49</t>
  </si>
  <si>
    <t>хлорные объекты системы водоподготовки</t>
  </si>
  <si>
    <t>химически опасные производственные объекты</t>
  </si>
  <si>
    <t>Распределение объектов химического комплекса по классам опасности</t>
  </si>
  <si>
    <t>рис 1.47</t>
  </si>
  <si>
    <t>рис 1.46</t>
  </si>
  <si>
    <t>Распределение опасных производственных объектов угольной промышленности по классам</t>
  </si>
  <si>
    <t>Организации осуществляющие деятельность в отношении РОО</t>
  </si>
  <si>
    <t>Ядерных энергетических установок судов</t>
  </si>
  <si>
    <t>Ядерного топливного цикла</t>
  </si>
  <si>
    <t>Распределение РОО по типам</t>
  </si>
  <si>
    <t>рис 1.48</t>
  </si>
  <si>
    <t>рис 1.45</t>
  </si>
  <si>
    <t>№ п/п</t>
  </si>
  <si>
    <t>ДНР</t>
  </si>
  <si>
    <t>ЛНР</t>
  </si>
  <si>
    <t>Запорожская область</t>
  </si>
  <si>
    <t>Херсонская область</t>
  </si>
  <si>
    <t>ДНР, ЛНР, Запорожская область, Херсонская область</t>
  </si>
  <si>
    <t>рис 1.56</t>
  </si>
  <si>
    <t>ср. индивидуальныйый риск пожары</t>
  </si>
  <si>
    <t>ср. индивидуальныйый риск ЧС</t>
  </si>
  <si>
    <t>ср. индивидуальныйый риск водный</t>
  </si>
  <si>
    <t>ср. индивидуальныйый риск обобщенный</t>
  </si>
  <si>
    <t xml:space="preserve">Чувашская Республика – Чувашия </t>
  </si>
  <si>
    <t>Количество протоколов
 об административном правонарушении</t>
  </si>
  <si>
    <t xml:space="preserve">Назначено административных наказаний в виде штрафа на сумму (тыс. руб.) </t>
  </si>
  <si>
    <t>Назначено административных наказаний в виде предупреждения</t>
  </si>
  <si>
    <t xml:space="preserve">Количество решений об административном приостановлении деятельности </t>
  </si>
  <si>
    <t xml:space="preserve">Контрольные надзорные  мероприятия </t>
  </si>
  <si>
    <t>2022 год</t>
  </si>
  <si>
    <t xml:space="preserve">2023 год </t>
  </si>
  <si>
    <t>Предписания</t>
  </si>
  <si>
    <t xml:space="preserve">Плановые </t>
  </si>
  <si>
    <t>Количество выданных предписаний</t>
  </si>
  <si>
    <t>Внеплановые</t>
  </si>
  <si>
    <t>Лицензирование деятельности по монтажу, техническому обслуживанию и ремонту средств обеспечения пожарной безопасности зданий и сооружений</t>
  </si>
  <si>
    <t>Лицензирование деятельности по тушению пожаров в населенных пунктах, 
на производственных объектах и объектах инфраструктуры</t>
  </si>
  <si>
    <t>Общее количество действующих лицензий</t>
  </si>
  <si>
    <t>Лицензий 2022 г.</t>
  </si>
  <si>
    <t>Лицензий 2023 г.</t>
  </si>
  <si>
    <t xml:space="preserve">Количество предоставленных лицензий </t>
  </si>
  <si>
    <t xml:space="preserve">Предоставлено </t>
  </si>
  <si>
    <t xml:space="preserve">Внесено изменений </t>
  </si>
  <si>
    <t xml:space="preserve">Деятельность по тушению пожаров  в населенных пунктах, на производственных объектах и объектах инфраструктуры </t>
  </si>
  <si>
    <t xml:space="preserve">Деятельность по монтажу, техническому обслуживанию и ремонту средств обеспечения пожарной безопасности зданий и сооружений  </t>
  </si>
  <si>
    <t>ВСЕГО                          на территории РФ:</t>
  </si>
  <si>
    <t>Внесено изменений в реестр лицензий</t>
  </si>
  <si>
    <t>ПРЕДОСТАВЛЕНО</t>
  </si>
  <si>
    <t>Предоставлено 
лицензий</t>
  </si>
  <si>
    <t>ВНЕСЕНО ИЗМЕНЕНИЙ</t>
  </si>
  <si>
    <t>Прекращено действие лицензий</t>
  </si>
  <si>
    <t xml:space="preserve">Деятельность Государственной инспекции по маломерным судам </t>
  </si>
  <si>
    <t>Прирост</t>
  </si>
  <si>
    <t>маломерных судов</t>
  </si>
  <si>
    <t>аттестованных судоводителей, всего</t>
  </si>
  <si>
    <t>Поднадзорные объекты:</t>
  </si>
  <si>
    <t>база (сооружение) для стоянок маломерных судов</t>
  </si>
  <si>
    <t>переправа (кроме паромных переправ), на которых используются маломерные суда</t>
  </si>
  <si>
    <t>пляжей, специально оборудованных  для купания</t>
  </si>
  <si>
    <t>ледовых переправ</t>
  </si>
  <si>
    <t>наплавных мостов за пределами ВВП РФ</t>
  </si>
  <si>
    <t xml:space="preserve">Сведения о предоставлении 
государственных услуг </t>
  </si>
  <si>
    <t>услуги по регистрации
маломерных судов</t>
  </si>
  <si>
    <t>услуги по аттестации на право управления маломерным судном</t>
  </si>
  <si>
    <t>услуг по свидетельствованию маломерных судов</t>
  </si>
  <si>
    <t xml:space="preserve">Сведения по делам об административных правонарушениях </t>
  </si>
  <si>
    <t>нарушений</t>
  </si>
  <si>
    <t>штрафов</t>
  </si>
  <si>
    <t>патрулирований на водных объектах</t>
  </si>
  <si>
    <t xml:space="preserve">Чрезвычайное гуманитарное реагирование </t>
  </si>
  <si>
    <t xml:space="preserve">2022 г. </t>
  </si>
  <si>
    <t>операций по доставке грузов гуманитарной помощи: Куба, Судан, Армения, Афганистан, Пакистан, Южная Осетия (дважды), Джибути</t>
  </si>
  <si>
    <t>операций по оказанию медицинской помощи по линии ВОЗ: Палестина, Судан, Сирия, Сомали, Куба</t>
  </si>
  <si>
    <t>операций по доставке продовольственной помощи по линии ВПП ООН: Киргизия (трижды), Таджикистан, Куба (дважды), Джибути, Сомали, ЦАР, Ливан, Палестина, Мадагаскар, Судан, Южный Судан, Йемен, Никарагуа</t>
  </si>
  <si>
    <t>операции по медицинской эвакуации: Таджикистан, Алжир, Турция, Саудовская Аравия</t>
  </si>
  <si>
    <t>операция по оказанию технической помощи Киргизии в процессе исполнения</t>
  </si>
  <si>
    <t>комплексная операция по доставке гуманитарной помощи в ДНР, ЛНР, Запорожскую и Херсонскую области и отдельные районы Украины</t>
  </si>
  <si>
    <t>ВСЕГО ОПЕРАЦИЙ</t>
  </si>
  <si>
    <t>9 Биологическая  опасность</t>
  </si>
  <si>
    <t>9.1 Эпидемии, массовые отравления</t>
  </si>
  <si>
    <t>9.2 Эпизоотии</t>
  </si>
  <si>
    <t>9.3 Эпифитотии</t>
  </si>
  <si>
    <t>Профессиональные поисково-спасательные формирования МЧС России, выполняющие поисково-спасательные работы</t>
  </si>
  <si>
    <t>в том числе детей</t>
  </si>
  <si>
    <t xml:space="preserve">   ПАСФ</t>
  </si>
  <si>
    <t xml:space="preserve">   ПСО ГУ МЧС России в ДФО</t>
  </si>
  <si>
    <t>Количество происшествий на водных объектах, ед.</t>
  </si>
  <si>
    <t>Количество людей, погибших в результате происшествий на  водных объектах, ед.</t>
  </si>
  <si>
    <t>Количество людей, травмированных в результате происшествий на водных объектах, ед.</t>
  </si>
  <si>
    <t>Количество людей, спасенных в результате происшествий на водных объектах, ед.</t>
  </si>
  <si>
    <t>обнаружено и обезврежено в т.ч. в ДНР и ЛНР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</si>
</sst>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%"/>
    <numFmt numFmtId="165" formatCode="0.00000000"/>
  </numFmts>
  <fonts count="2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0"/>
      <color theme="1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u/>
      <sz val="11"/>
      <color theme="10"/>
      <name val="Calibri"/>
      <family val="2"/>
      <scheme val="minor"/>
    </font>
    <font>
      <b/>
      <sz val="10"/>
      <name val="Times New Roman"/>
      <family val="1"/>
      <charset val="204"/>
    </font>
    <font>
      <sz val="8"/>
      <name val="Calibri"/>
      <family val="2"/>
      <scheme val="minor"/>
    </font>
    <font>
      <b/>
      <sz val="10"/>
      <color theme="0"/>
      <name val="Times New Roman"/>
      <family val="1"/>
      <charset val="204"/>
    </font>
    <font>
      <u/>
      <sz val="10"/>
      <name val="Times New Roman"/>
      <family val="1"/>
      <charset val="204"/>
    </font>
    <font>
      <b/>
      <sz val="10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10"/>
      <name val="Times New Roman"/>
      <family val="1"/>
      <charset val="204"/>
    </font>
    <font>
      <sz val="11"/>
      <color theme="0"/>
      <name val="Calibri"/>
      <family val="2"/>
      <scheme val="minor"/>
    </font>
    <font>
      <b/>
      <sz val="9"/>
      <color rgb="FF000000"/>
      <name val="Times New Roman"/>
      <family val="1"/>
      <charset val="204"/>
    </font>
    <font>
      <sz val="11"/>
      <color rgb="FF000000"/>
      <name val="Calibri"/>
      <family val="2"/>
      <charset val="1"/>
    </font>
  </fonts>
  <fills count="21">
    <fill>
      <patternFill patternType="none"/>
    </fill>
    <fill>
      <patternFill patternType="gray125"/>
    </fill>
    <fill>
      <patternFill patternType="solid">
        <fgColor rgb="FFC6D9F1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1C6F7"/>
        <bgColor indexed="64"/>
      </patternFill>
    </fill>
  </fills>
  <borders count="32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55"/>
      </left>
      <right style="thin">
        <color indexed="55"/>
      </right>
      <top style="thin">
        <color indexed="55"/>
      </top>
      <bottom style="thin">
        <color indexed="55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8">
    <xf numFmtId="0" fontId="0" fillId="0" borderId="0"/>
    <xf numFmtId="0" fontId="8" fillId="0" borderId="0" applyNumberFormat="0" applyFill="0" applyBorder="0" applyAlignment="0" applyProtection="0"/>
    <xf numFmtId="0" fontId="3" fillId="3" borderId="0" applyNumberFormat="0" applyBorder="0" applyAlignment="0" applyProtection="0"/>
    <xf numFmtId="0" fontId="3" fillId="4" borderId="0" applyNumberFormat="0" applyBorder="0" applyAlignment="0" applyProtection="0"/>
    <xf numFmtId="0" fontId="2" fillId="4" borderId="0" applyNumberFormat="0" applyBorder="0" applyAlignment="0" applyProtection="0"/>
    <xf numFmtId="0" fontId="20" fillId="0" borderId="0"/>
    <xf numFmtId="0" fontId="1" fillId="3" borderId="0" applyNumberFormat="0" applyBorder="0" applyAlignment="0" applyProtection="0"/>
    <xf numFmtId="0" fontId="1" fillId="4" borderId="0" applyNumberFormat="0" applyBorder="0" applyAlignment="0" applyProtection="0"/>
  </cellStyleXfs>
  <cellXfs count="293">
    <xf numFmtId="0" fontId="0" fillId="0" borderId="0" xfId="0"/>
    <xf numFmtId="0" fontId="7" fillId="0" borderId="8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/>
    </xf>
    <xf numFmtId="0" fontId="6" fillId="0" borderId="0" xfId="0" applyFont="1" applyAlignment="1">
      <alignment horizontal="justify" vertical="center"/>
    </xf>
    <xf numFmtId="0" fontId="7" fillId="0" borderId="1" xfId="0" applyFont="1" applyBorder="1" applyAlignment="1">
      <alignment horizontal="justify" vertical="center" wrapText="1"/>
    </xf>
    <xf numFmtId="0" fontId="7" fillId="0" borderId="1" xfId="0" applyFont="1" applyBorder="1" applyAlignment="1">
      <alignment horizontal="center" vertical="center" wrapText="1"/>
    </xf>
    <xf numFmtId="0" fontId="5" fillId="2" borderId="8" xfId="0" applyFont="1" applyFill="1" applyBorder="1" applyAlignment="1">
      <alignment horizontal="center" vertical="center" wrapText="1"/>
    </xf>
    <xf numFmtId="0" fontId="4" fillId="4" borderId="8" xfId="3" applyFont="1" applyBorder="1" applyAlignment="1">
      <alignment horizontal="center" vertical="center" wrapText="1"/>
    </xf>
    <xf numFmtId="0" fontId="4" fillId="4" borderId="3" xfId="3" applyFont="1" applyBorder="1" applyAlignment="1" applyProtection="1">
      <alignment horizontal="center" vertical="center"/>
    </xf>
    <xf numFmtId="0" fontId="7" fillId="0" borderId="3" xfId="0" applyFont="1" applyBorder="1" applyAlignment="1" applyProtection="1">
      <alignment horizontal="center" vertical="center" wrapText="1"/>
    </xf>
    <xf numFmtId="0" fontId="4" fillId="4" borderId="3" xfId="3" applyFont="1" applyBorder="1" applyAlignment="1" applyProtection="1">
      <alignment horizontal="center" vertical="center" wrapText="1"/>
    </xf>
    <xf numFmtId="0" fontId="7" fillId="0" borderId="3" xfId="0" applyFont="1" applyBorder="1" applyAlignment="1" applyProtection="1">
      <alignment horizontal="center" vertical="center"/>
    </xf>
    <xf numFmtId="0" fontId="7" fillId="0" borderId="1" xfId="0" applyFont="1" applyBorder="1" applyAlignment="1">
      <alignment vertical="center" wrapText="1"/>
    </xf>
    <xf numFmtId="0" fontId="4" fillId="4" borderId="1" xfId="3" applyFont="1" applyBorder="1" applyAlignment="1">
      <alignment vertical="center" wrapText="1"/>
    </xf>
    <xf numFmtId="0" fontId="6" fillId="0" borderId="0" xfId="0" applyFont="1"/>
    <xf numFmtId="0" fontId="4" fillId="4" borderId="1" xfId="3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4" fillId="4" borderId="1" xfId="3" applyFont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4" fillId="0" borderId="1" xfId="3" applyFont="1" applyFill="1" applyBorder="1" applyAlignment="1">
      <alignment horizontal="center" vertical="center" wrapText="1"/>
    </xf>
    <xf numFmtId="0" fontId="6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7" fillId="0" borderId="1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10" fontId="7" fillId="0" borderId="1" xfId="0" applyNumberFormat="1" applyFont="1" applyBorder="1" applyAlignment="1">
      <alignment horizontal="center" vertical="center" wrapText="1"/>
    </xf>
    <xf numFmtId="0" fontId="11" fillId="6" borderId="1" xfId="2" applyFont="1" applyFill="1" applyBorder="1" applyAlignment="1">
      <alignment horizontal="center" vertical="center" wrapText="1"/>
    </xf>
    <xf numFmtId="0" fontId="11" fillId="6" borderId="1" xfId="0" applyFont="1" applyFill="1" applyBorder="1" applyAlignment="1">
      <alignment horizontal="center" vertical="center" wrapText="1"/>
    </xf>
    <xf numFmtId="0" fontId="4" fillId="4" borderId="1" xfId="3" applyFont="1" applyBorder="1" applyAlignment="1">
      <alignment horizontal="left" vertical="center" wrapText="1"/>
    </xf>
    <xf numFmtId="0" fontId="4" fillId="3" borderId="1" xfId="2" applyFont="1" applyBorder="1" applyAlignment="1">
      <alignment horizontal="left" vertical="center" wrapText="1"/>
    </xf>
    <xf numFmtId="0" fontId="11" fillId="6" borderId="1" xfId="0" applyFont="1" applyFill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/>
    </xf>
    <xf numFmtId="0" fontId="4" fillId="3" borderId="1" xfId="2" applyFont="1" applyBorder="1" applyAlignment="1" applyProtection="1">
      <alignment horizontal="center" vertical="center" wrapText="1"/>
    </xf>
    <xf numFmtId="0" fontId="4" fillId="3" borderId="1" xfId="2" applyFont="1" applyBorder="1" applyAlignment="1">
      <alignment horizontal="center" vertical="center" wrapText="1"/>
    </xf>
    <xf numFmtId="0" fontId="6" fillId="0" borderId="0" xfId="0" applyFont="1" applyFill="1"/>
    <xf numFmtId="0" fontId="6" fillId="0" borderId="0" xfId="0" applyFont="1" applyFill="1" applyAlignment="1">
      <alignment horizontal="center" vertical="center"/>
    </xf>
    <xf numFmtId="0" fontId="4" fillId="5" borderId="1" xfId="0" applyFont="1" applyFill="1" applyBorder="1" applyAlignment="1">
      <alignment horizontal="center" vertical="center" wrapText="1"/>
    </xf>
    <xf numFmtId="0" fontId="6" fillId="0" borderId="1" xfId="3" applyFont="1" applyFill="1" applyBorder="1" applyAlignment="1">
      <alignment horizontal="center" vertical="center" wrapText="1"/>
    </xf>
    <xf numFmtId="0" fontId="7" fillId="0" borderId="1" xfId="0" applyNumberFormat="1" applyFont="1" applyBorder="1" applyAlignment="1">
      <alignment horizontal="center" vertical="center" wrapText="1"/>
    </xf>
    <xf numFmtId="0" fontId="4" fillId="3" borderId="5" xfId="2" applyFont="1" applyBorder="1" applyAlignment="1">
      <alignment horizontal="center" vertical="center" wrapText="1"/>
    </xf>
    <xf numFmtId="0" fontId="6" fillId="0" borderId="0" xfId="0" applyFont="1" applyBorder="1"/>
    <xf numFmtId="0" fontId="4" fillId="5" borderId="5" xfId="0" applyFont="1" applyFill="1" applyBorder="1" applyAlignment="1">
      <alignment vertical="center" wrapText="1"/>
    </xf>
    <xf numFmtId="0" fontId="4" fillId="5" borderId="6" xfId="0" applyFont="1" applyFill="1" applyBorder="1" applyAlignment="1">
      <alignment vertical="center" wrapText="1"/>
    </xf>
    <xf numFmtId="10" fontId="4" fillId="4" borderId="1" xfId="3" applyNumberFormat="1" applyFont="1" applyBorder="1" applyAlignment="1">
      <alignment horizontal="center" vertical="center" wrapText="1"/>
    </xf>
    <xf numFmtId="10" fontId="4" fillId="3" borderId="1" xfId="2" applyNumberFormat="1" applyFont="1" applyBorder="1" applyAlignment="1">
      <alignment horizontal="center" vertical="center" wrapText="1"/>
    </xf>
    <xf numFmtId="10" fontId="11" fillId="6" borderId="1" xfId="0" applyNumberFormat="1" applyFont="1" applyFill="1" applyBorder="1" applyAlignment="1">
      <alignment horizontal="center" vertical="center" wrapText="1"/>
    </xf>
    <xf numFmtId="10" fontId="11" fillId="6" borderId="1" xfId="2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13" fillId="7" borderId="1" xfId="0" applyFont="1" applyFill="1" applyBorder="1" applyAlignment="1">
      <alignment horizontal="center" vertical="center"/>
    </xf>
    <xf numFmtId="0" fontId="13" fillId="4" borderId="1" xfId="3" applyFont="1" applyBorder="1" applyAlignment="1" applyProtection="1">
      <alignment horizontal="center" vertical="center" wrapText="1"/>
    </xf>
    <xf numFmtId="0" fontId="13" fillId="4" borderId="1" xfId="3" applyFont="1" applyBorder="1" applyAlignment="1" applyProtection="1">
      <alignment horizontal="center" vertical="center"/>
    </xf>
    <xf numFmtId="0" fontId="14" fillId="0" borderId="1" xfId="0" applyFont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/>
    </xf>
    <xf numFmtId="0" fontId="13" fillId="3" borderId="1" xfId="2" applyFont="1" applyBorder="1" applyAlignment="1">
      <alignment horizontal="center" vertical="center" wrapText="1"/>
    </xf>
    <xf numFmtId="0" fontId="15" fillId="3" borderId="1" xfId="2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4" fillId="4" borderId="12" xfId="3" applyFont="1" applyBorder="1" applyAlignment="1" applyProtection="1">
      <alignment horizontal="center" vertical="center"/>
    </xf>
    <xf numFmtId="0" fontId="4" fillId="4" borderId="12" xfId="3" applyFont="1" applyBorder="1" applyAlignment="1">
      <alignment horizontal="center" vertical="center" wrapText="1"/>
    </xf>
    <xf numFmtId="0" fontId="7" fillId="0" borderId="12" xfId="0" applyFont="1" applyBorder="1" applyAlignment="1" applyProtection="1">
      <alignment horizontal="center" vertical="center" wrapText="1"/>
    </xf>
    <xf numFmtId="0" fontId="7" fillId="0" borderId="12" xfId="0" applyFont="1" applyBorder="1" applyAlignment="1">
      <alignment horizontal="center" vertical="center" wrapText="1"/>
    </xf>
    <xf numFmtId="0" fontId="4" fillId="4" borderId="12" xfId="3" applyFont="1" applyBorder="1" applyAlignment="1" applyProtection="1">
      <alignment horizontal="center" vertical="center" wrapText="1"/>
    </xf>
    <xf numFmtId="0" fontId="7" fillId="0" borderId="12" xfId="0" applyFont="1" applyBorder="1" applyAlignment="1" applyProtection="1">
      <alignment horizontal="center" vertical="center"/>
    </xf>
    <xf numFmtId="0" fontId="16" fillId="0" borderId="0" xfId="0" applyFont="1"/>
    <xf numFmtId="0" fontId="13" fillId="11" borderId="1" xfId="2" applyFont="1" applyFill="1" applyBorder="1" applyAlignment="1">
      <alignment horizontal="center" vertical="center" wrapText="1"/>
    </xf>
    <xf numFmtId="0" fontId="15" fillId="11" borderId="1" xfId="2" applyFont="1" applyFill="1" applyBorder="1" applyAlignment="1">
      <alignment horizontal="center" vertical="center" wrapText="1"/>
    </xf>
    <xf numFmtId="0" fontId="13" fillId="11" borderId="1" xfId="0" applyFont="1" applyFill="1" applyBorder="1" applyAlignment="1">
      <alignment horizontal="center" vertical="center"/>
    </xf>
    <xf numFmtId="0" fontId="4" fillId="11" borderId="1" xfId="0" applyFont="1" applyFill="1" applyBorder="1" applyAlignment="1">
      <alignment horizontal="center" vertical="center" wrapText="1"/>
    </xf>
    <xf numFmtId="0" fontId="5" fillId="11" borderId="3" xfId="0" applyFont="1" applyFill="1" applyBorder="1" applyAlignment="1" applyProtection="1">
      <alignment horizontal="center" vertical="center"/>
    </xf>
    <xf numFmtId="0" fontId="5" fillId="11" borderId="8" xfId="0" applyFont="1" applyFill="1" applyBorder="1" applyAlignment="1">
      <alignment horizontal="center" vertical="center" wrapText="1"/>
    </xf>
    <xf numFmtId="0" fontId="5" fillId="11" borderId="3" xfId="0" applyFont="1" applyFill="1" applyBorder="1" applyAlignment="1">
      <alignment horizontal="center" vertical="center"/>
    </xf>
    <xf numFmtId="0" fontId="4" fillId="11" borderId="12" xfId="0" applyFont="1" applyFill="1" applyBorder="1" applyAlignment="1">
      <alignment horizontal="center" vertical="center" wrapText="1"/>
    </xf>
    <xf numFmtId="0" fontId="5" fillId="11" borderId="12" xfId="0" applyFont="1" applyFill="1" applyBorder="1" applyAlignment="1">
      <alignment horizontal="center" vertical="center" wrapText="1"/>
    </xf>
    <xf numFmtId="0" fontId="4" fillId="11" borderId="8" xfId="0" applyFont="1" applyFill="1" applyBorder="1" applyAlignment="1">
      <alignment horizontal="center" vertical="center" wrapText="1"/>
    </xf>
    <xf numFmtId="0" fontId="6" fillId="8" borderId="12" xfId="0" applyFont="1" applyFill="1" applyBorder="1"/>
    <xf numFmtId="0" fontId="6" fillId="8" borderId="12" xfId="0" applyFont="1" applyFill="1" applyBorder="1" applyAlignment="1">
      <alignment horizontal="center" vertical="center"/>
    </xf>
    <xf numFmtId="0" fontId="17" fillId="9" borderId="12" xfId="0" applyFont="1" applyFill="1" applyBorder="1" applyAlignment="1">
      <alignment horizontal="center" vertical="center"/>
    </xf>
    <xf numFmtId="0" fontId="6" fillId="11" borderId="12" xfId="0" applyFont="1" applyFill="1" applyBorder="1"/>
    <xf numFmtId="0" fontId="6" fillId="11" borderId="12" xfId="0" applyFont="1" applyFill="1" applyBorder="1" applyAlignment="1">
      <alignment horizontal="center" vertical="center"/>
    </xf>
    <xf numFmtId="0" fontId="17" fillId="11" borderId="12" xfId="0" applyFont="1" applyFill="1" applyBorder="1" applyAlignment="1">
      <alignment horizontal="center" vertical="center"/>
    </xf>
    <xf numFmtId="0" fontId="6" fillId="10" borderId="17" xfId="0" applyFont="1" applyFill="1" applyBorder="1" applyAlignment="1">
      <alignment horizontal="center" vertical="top"/>
    </xf>
    <xf numFmtId="0" fontId="6" fillId="8" borderId="12" xfId="0" applyFont="1" applyFill="1" applyBorder="1" applyAlignment="1">
      <alignment horizontal="left" vertical="center"/>
    </xf>
    <xf numFmtId="0" fontId="17" fillId="11" borderId="23" xfId="0" applyFont="1" applyFill="1" applyBorder="1" applyAlignment="1">
      <alignment horizontal="center" vertical="center"/>
    </xf>
    <xf numFmtId="0" fontId="6" fillId="8" borderId="23" xfId="0" applyFont="1" applyFill="1" applyBorder="1" applyAlignment="1">
      <alignment horizontal="left" vertical="center"/>
    </xf>
    <xf numFmtId="0" fontId="4" fillId="11" borderId="12" xfId="0" applyFont="1" applyFill="1" applyBorder="1" applyAlignment="1">
      <alignment horizontal="center" vertical="center"/>
    </xf>
    <xf numFmtId="0" fontId="4" fillId="11" borderId="23" xfId="0" applyFont="1" applyFill="1" applyBorder="1" applyAlignment="1">
      <alignment horizontal="center" vertical="center"/>
    </xf>
    <xf numFmtId="0" fontId="6" fillId="0" borderId="0" xfId="0" applyFont="1" applyAlignment="1">
      <alignment horizontal="left" vertical="center" wrapText="1"/>
    </xf>
    <xf numFmtId="0" fontId="6" fillId="11" borderId="12" xfId="0" applyFont="1" applyFill="1" applyBorder="1" applyAlignment="1">
      <alignment horizontal="center" vertical="center" wrapText="1"/>
    </xf>
    <xf numFmtId="0" fontId="17" fillId="11" borderId="12" xfId="0" applyFont="1" applyFill="1" applyBorder="1" applyAlignment="1">
      <alignment horizontal="center" vertical="center" wrapText="1"/>
    </xf>
    <xf numFmtId="0" fontId="17" fillId="11" borderId="12" xfId="0" applyFont="1" applyFill="1" applyBorder="1" applyAlignment="1">
      <alignment horizontal="center" vertical="center"/>
    </xf>
    <xf numFmtId="0" fontId="6" fillId="10" borderId="22" xfId="0" applyFont="1" applyFill="1" applyBorder="1" applyAlignment="1">
      <alignment horizontal="left" vertical="center"/>
    </xf>
    <xf numFmtId="0" fontId="6" fillId="11" borderId="12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6" fillId="0" borderId="23" xfId="0" applyFont="1" applyBorder="1" applyAlignment="1">
      <alignment horizontal="left" vertical="center"/>
    </xf>
    <xf numFmtId="0" fontId="6" fillId="0" borderId="25" xfId="0" applyFont="1" applyBorder="1" applyAlignment="1">
      <alignment horizontal="left" vertical="center"/>
    </xf>
    <xf numFmtId="0" fontId="6" fillId="10" borderId="24" xfId="0" applyFont="1" applyFill="1" applyBorder="1" applyAlignment="1">
      <alignment horizontal="left" vertical="center"/>
    </xf>
    <xf numFmtId="0" fontId="6" fillId="0" borderId="12" xfId="0" applyFont="1" applyBorder="1" applyAlignment="1">
      <alignment horizontal="left" vertical="center"/>
    </xf>
    <xf numFmtId="0" fontId="0" fillId="0" borderId="0" xfId="0" applyAlignment="1">
      <alignment horizontal="left" vertical="center" wrapText="1"/>
    </xf>
    <xf numFmtId="0" fontId="6" fillId="0" borderId="12" xfId="0" applyFont="1" applyBorder="1" applyAlignment="1">
      <alignment horizontal="left" vertical="center" wrapText="1"/>
    </xf>
    <xf numFmtId="0" fontId="6" fillId="10" borderId="22" xfId="0" applyFont="1" applyFill="1" applyBorder="1" applyAlignment="1">
      <alignment horizontal="left" vertical="center" wrapText="1"/>
    </xf>
    <xf numFmtId="0" fontId="6" fillId="11" borderId="21" xfId="0" applyFont="1" applyFill="1" applyBorder="1" applyAlignment="1">
      <alignment horizontal="left" vertical="center"/>
    </xf>
    <xf numFmtId="0" fontId="6" fillId="11" borderId="20" xfId="0" applyFont="1" applyFill="1" applyBorder="1" applyAlignment="1">
      <alignment horizontal="left" vertical="center"/>
    </xf>
    <xf numFmtId="0" fontId="6" fillId="11" borderId="19" xfId="0" applyFont="1" applyFill="1" applyBorder="1" applyAlignment="1">
      <alignment horizontal="left" vertical="center"/>
    </xf>
    <xf numFmtId="0" fontId="6" fillId="0" borderId="0" xfId="0" applyFont="1" applyAlignment="1">
      <alignment horizontal="center" vertical="center" wrapText="1"/>
    </xf>
    <xf numFmtId="164" fontId="6" fillId="11" borderId="12" xfId="0" applyNumberFormat="1" applyFont="1" applyFill="1" applyBorder="1" applyAlignment="1">
      <alignment horizontal="center"/>
    </xf>
    <xf numFmtId="0" fontId="6" fillId="11" borderId="12" xfId="0" applyFont="1" applyFill="1" applyBorder="1" applyAlignment="1">
      <alignment horizontal="center"/>
    </xf>
    <xf numFmtId="164" fontId="6" fillId="0" borderId="12" xfId="0" applyNumberFormat="1" applyFont="1" applyBorder="1"/>
    <xf numFmtId="0" fontId="6" fillId="0" borderId="12" xfId="0" applyFont="1" applyBorder="1"/>
    <xf numFmtId="0" fontId="6" fillId="10" borderId="12" xfId="0" applyFont="1" applyFill="1" applyBorder="1" applyAlignment="1">
      <alignment horizontal="left" vertical="center" wrapText="1"/>
    </xf>
    <xf numFmtId="0" fontId="6" fillId="10" borderId="12" xfId="0" applyFont="1" applyFill="1" applyBorder="1"/>
    <xf numFmtId="0" fontId="6" fillId="11" borderId="12" xfId="0" applyFont="1" applyFill="1" applyBorder="1" applyAlignment="1">
      <alignment vertical="center" wrapText="1"/>
    </xf>
    <xf numFmtId="0" fontId="6" fillId="11" borderId="12" xfId="0" applyFont="1" applyFill="1" applyBorder="1" applyAlignment="1">
      <alignment horizontal="left" vertical="center" wrapText="1"/>
    </xf>
    <xf numFmtId="164" fontId="6" fillId="11" borderId="12" xfId="0" applyNumberFormat="1" applyFont="1" applyFill="1" applyBorder="1"/>
    <xf numFmtId="10" fontId="6" fillId="0" borderId="12" xfId="0" applyNumberFormat="1" applyFont="1" applyBorder="1"/>
    <xf numFmtId="0" fontId="6" fillId="0" borderId="12" xfId="0" applyFont="1" applyFill="1" applyBorder="1" applyAlignment="1">
      <alignment horizontal="center" vertical="center"/>
    </xf>
    <xf numFmtId="10" fontId="6" fillId="0" borderId="12" xfId="0" applyNumberFormat="1" applyFont="1" applyFill="1" applyBorder="1"/>
    <xf numFmtId="0" fontId="6" fillId="11" borderId="12" xfId="0" applyFont="1" applyFill="1" applyBorder="1" applyAlignment="1">
      <alignment horizontal="left" vertical="center"/>
    </xf>
    <xf numFmtId="0" fontId="6" fillId="0" borderId="0" xfId="0" applyFont="1" applyAlignment="1">
      <alignment horizontal="left" wrapText="1"/>
    </xf>
    <xf numFmtId="0" fontId="17" fillId="11" borderId="12" xfId="0" applyFont="1" applyFill="1" applyBorder="1"/>
    <xf numFmtId="0" fontId="6" fillId="10" borderId="12" xfId="0" applyFont="1" applyFill="1" applyBorder="1" applyAlignment="1">
      <alignment horizontal="left" vertical="center"/>
    </xf>
    <xf numFmtId="0" fontId="0" fillId="0" borderId="0" xfId="0" applyBorder="1"/>
    <xf numFmtId="0" fontId="18" fillId="0" borderId="0" xfId="0" applyFont="1" applyFill="1" applyBorder="1"/>
    <xf numFmtId="0" fontId="18" fillId="0" borderId="0" xfId="0" applyFont="1" applyFill="1" applyBorder="1" applyAlignment="1">
      <alignment horizontal="center"/>
    </xf>
    <xf numFmtId="0" fontId="17" fillId="8" borderId="12" xfId="0" applyFont="1" applyFill="1" applyBorder="1"/>
    <xf numFmtId="0" fontId="17" fillId="10" borderId="12" xfId="0" applyFont="1" applyFill="1" applyBorder="1"/>
    <xf numFmtId="0" fontId="17" fillId="11" borderId="12" xfId="0" applyFont="1" applyFill="1" applyBorder="1" applyAlignment="1">
      <alignment horizontal="left" vertical="center"/>
    </xf>
    <xf numFmtId="0" fontId="17" fillId="10" borderId="12" xfId="0" applyFont="1" applyFill="1" applyBorder="1" applyAlignment="1">
      <alignment horizontal="left" vertical="center"/>
    </xf>
    <xf numFmtId="0" fontId="0" fillId="0" borderId="0" xfId="0" applyFill="1" applyBorder="1"/>
    <xf numFmtId="0" fontId="17" fillId="11" borderId="12" xfId="0" applyFont="1" applyFill="1" applyBorder="1" applyAlignment="1">
      <alignment horizontal="left" vertical="center" wrapText="1"/>
    </xf>
    <xf numFmtId="0" fontId="0" fillId="0" borderId="0" xfId="0" applyAlignment="1">
      <alignment horizontal="center" vertical="center"/>
    </xf>
    <xf numFmtId="0" fontId="17" fillId="12" borderId="12" xfId="0" applyFont="1" applyFill="1" applyBorder="1"/>
    <xf numFmtId="0" fontId="17" fillId="12" borderId="12" xfId="0" applyFont="1" applyFill="1" applyBorder="1" applyAlignment="1">
      <alignment horizontal="right"/>
    </xf>
    <xf numFmtId="0" fontId="17" fillId="10" borderId="12" xfId="0" applyFont="1" applyFill="1" applyBorder="1" applyAlignment="1">
      <alignment horizontal="left" vertical="center" wrapText="1"/>
    </xf>
    <xf numFmtId="0" fontId="6" fillId="10" borderId="12" xfId="0" applyFont="1" applyFill="1" applyBorder="1" applyAlignment="1">
      <alignment wrapText="1"/>
    </xf>
    <xf numFmtId="0" fontId="6" fillId="10" borderId="12" xfId="0" applyFont="1" applyFill="1" applyBorder="1" applyAlignment="1">
      <alignment vertical="center"/>
    </xf>
    <xf numFmtId="0" fontId="6" fillId="11" borderId="12" xfId="0" applyFont="1" applyFill="1" applyBorder="1" applyAlignment="1">
      <alignment horizontal="center" vertical="center"/>
    </xf>
    <xf numFmtId="0" fontId="6" fillId="10" borderId="12" xfId="0" applyFont="1" applyFill="1" applyBorder="1" applyAlignment="1">
      <alignment vertical="center" wrapText="1"/>
    </xf>
    <xf numFmtId="0" fontId="6" fillId="10" borderId="12" xfId="0" applyFont="1" applyFill="1" applyBorder="1" applyAlignment="1">
      <alignment horizontal="left" vertical="center" wrapText="1"/>
    </xf>
    <xf numFmtId="0" fontId="6" fillId="11" borderId="12" xfId="0" applyFont="1" applyFill="1" applyBorder="1" applyAlignment="1">
      <alignment wrapText="1"/>
    </xf>
    <xf numFmtId="0" fontId="6" fillId="11" borderId="12" xfId="0" applyFont="1" applyFill="1" applyBorder="1" applyAlignment="1">
      <alignment vertical="center"/>
    </xf>
    <xf numFmtId="0" fontId="0" fillId="0" borderId="0" xfId="0" applyFill="1"/>
    <xf numFmtId="0" fontId="6" fillId="11" borderId="12" xfId="0" applyFont="1" applyFill="1" applyBorder="1" applyAlignment="1">
      <alignment horizontal="center" wrapText="1"/>
    </xf>
    <xf numFmtId="0" fontId="6" fillId="0" borderId="12" xfId="0" applyFont="1" applyFill="1" applyBorder="1" applyAlignment="1">
      <alignment vertical="top" wrapText="1"/>
    </xf>
    <xf numFmtId="0" fontId="6" fillId="10" borderId="12" xfId="0" applyFont="1" applyFill="1" applyBorder="1" applyAlignment="1">
      <alignment vertical="top" wrapText="1"/>
    </xf>
    <xf numFmtId="0" fontId="16" fillId="0" borderId="12" xfId="0" applyFont="1" applyBorder="1" applyAlignment="1">
      <alignment horizontal="right"/>
    </xf>
    <xf numFmtId="0" fontId="16" fillId="10" borderId="12" xfId="0" applyFont="1" applyFill="1" applyBorder="1" applyAlignment="1">
      <alignment wrapText="1"/>
    </xf>
    <xf numFmtId="0" fontId="16" fillId="10" borderId="12" xfId="0" applyFont="1" applyFill="1" applyBorder="1"/>
    <xf numFmtId="0" fontId="16" fillId="11" borderId="12" xfId="0" applyFont="1" applyFill="1" applyBorder="1" applyAlignment="1">
      <alignment horizontal="center" vertical="center"/>
    </xf>
    <xf numFmtId="0" fontId="16" fillId="11" borderId="12" xfId="0" applyFont="1" applyFill="1" applyBorder="1" applyAlignment="1">
      <alignment wrapText="1"/>
    </xf>
    <xf numFmtId="0" fontId="16" fillId="0" borderId="12" xfId="0" applyFont="1" applyBorder="1"/>
    <xf numFmtId="0" fontId="16" fillId="11" borderId="12" xfId="0" applyFont="1" applyFill="1" applyBorder="1" applyAlignment="1">
      <alignment vertical="center"/>
    </xf>
    <xf numFmtId="0" fontId="16" fillId="10" borderId="12" xfId="0" applyFont="1" applyFill="1" applyBorder="1" applyAlignment="1">
      <alignment vertical="center"/>
    </xf>
    <xf numFmtId="0" fontId="16" fillId="11" borderId="12" xfId="0" applyFont="1" applyFill="1" applyBorder="1" applyAlignment="1">
      <alignment vertical="center" wrapText="1"/>
    </xf>
    <xf numFmtId="165" fontId="0" fillId="0" borderId="0" xfId="0" applyNumberFormat="1" applyAlignment="1">
      <alignment wrapText="1"/>
    </xf>
    <xf numFmtId="0" fontId="0" fillId="9" borderId="0" xfId="0" applyFill="1"/>
    <xf numFmtId="0" fontId="4" fillId="11" borderId="1" xfId="4" applyFont="1" applyFill="1" applyBorder="1" applyAlignment="1">
      <alignment horizontal="center" vertical="center" wrapText="1"/>
    </xf>
    <xf numFmtId="165" fontId="5" fillId="11" borderId="1" xfId="0" applyNumberFormat="1" applyFont="1" applyFill="1" applyBorder="1" applyAlignment="1">
      <alignment horizontal="center" vertical="center" wrapText="1"/>
    </xf>
    <xf numFmtId="0" fontId="19" fillId="11" borderId="1" xfId="0" applyFont="1" applyFill="1" applyBorder="1" applyAlignment="1">
      <alignment horizontal="center" vertical="center" wrapText="1"/>
    </xf>
    <xf numFmtId="3" fontId="0" fillId="0" borderId="0" xfId="0" applyNumberFormat="1" applyAlignment="1">
      <alignment horizontal="right" vertical="top"/>
    </xf>
    <xf numFmtId="165" fontId="5" fillId="0" borderId="1" xfId="0" applyNumberFormat="1" applyFont="1" applyFill="1" applyBorder="1" applyAlignment="1">
      <alignment horizontal="center" vertical="center" wrapText="1"/>
    </xf>
    <xf numFmtId="0" fontId="4" fillId="0" borderId="1" xfId="4" applyFont="1" applyFill="1" applyBorder="1" applyAlignment="1">
      <alignment horizontal="center" vertical="center" wrapText="1"/>
    </xf>
    <xf numFmtId="3" fontId="0" fillId="9" borderId="0" xfId="0" applyNumberFormat="1" applyFill="1"/>
    <xf numFmtId="0" fontId="4" fillId="11" borderId="1" xfId="4" applyFont="1" applyFill="1" applyBorder="1" applyAlignment="1" applyProtection="1">
      <alignment horizontal="center" vertical="center" wrapText="1"/>
    </xf>
    <xf numFmtId="3" fontId="0" fillId="0" borderId="30" xfId="0" applyNumberFormat="1" applyBorder="1" applyAlignment="1">
      <alignment horizontal="right" vertical="top"/>
    </xf>
    <xf numFmtId="0" fontId="6" fillId="13" borderId="12" xfId="0" applyFont="1" applyFill="1" applyBorder="1" applyAlignment="1">
      <alignment wrapText="1"/>
    </xf>
    <xf numFmtId="0" fontId="6" fillId="14" borderId="12" xfId="0" applyFont="1" applyFill="1" applyBorder="1" applyAlignment="1">
      <alignment wrapText="1"/>
    </xf>
    <xf numFmtId="0" fontId="17" fillId="15" borderId="12" xfId="0" applyFont="1" applyFill="1" applyBorder="1" applyAlignment="1">
      <alignment wrapText="1"/>
    </xf>
    <xf numFmtId="0" fontId="6" fillId="16" borderId="12" xfId="0" applyFont="1" applyFill="1" applyBorder="1" applyAlignment="1">
      <alignment wrapText="1"/>
    </xf>
    <xf numFmtId="0" fontId="0" fillId="0" borderId="0" xfId="0" applyAlignment="1"/>
    <xf numFmtId="0" fontId="7" fillId="17" borderId="8" xfId="0" applyFont="1" applyFill="1" applyBorder="1" applyAlignment="1">
      <alignment horizontal="center" vertical="center" wrapText="1"/>
    </xf>
    <xf numFmtId="0" fontId="7" fillId="17" borderId="1" xfId="0" applyFont="1" applyFill="1" applyBorder="1" applyAlignment="1">
      <alignment horizontal="center" vertical="center" wrapText="1"/>
    </xf>
    <xf numFmtId="0" fontId="4" fillId="17" borderId="1" xfId="0" applyFont="1" applyFill="1" applyBorder="1" applyAlignment="1">
      <alignment horizontal="center" vertical="center" wrapText="1"/>
    </xf>
    <xf numFmtId="0" fontId="6" fillId="0" borderId="12" xfId="0" applyFont="1" applyBorder="1" applyAlignment="1">
      <alignment horizontal="center" vertical="center" wrapText="1"/>
    </xf>
    <xf numFmtId="0" fontId="7" fillId="0" borderId="0" xfId="0" applyFont="1"/>
    <xf numFmtId="0" fontId="7" fillId="10" borderId="12" xfId="0" applyFont="1" applyFill="1" applyBorder="1"/>
    <xf numFmtId="0" fontId="6" fillId="10" borderId="17" xfId="0" applyFont="1" applyFill="1" applyBorder="1" applyAlignment="1">
      <alignment horizontal="center" vertical="top"/>
    </xf>
    <xf numFmtId="0" fontId="6" fillId="0" borderId="0" xfId="0" applyFont="1" applyAlignment="1">
      <alignment horizontal="left" vertical="center" wrapText="1"/>
    </xf>
    <xf numFmtId="0" fontId="6" fillId="10" borderId="12" xfId="0" applyFont="1" applyFill="1" applyBorder="1" applyAlignment="1">
      <alignment horizontal="center" vertical="center"/>
    </xf>
    <xf numFmtId="0" fontId="6" fillId="11" borderId="12" xfId="0" applyFont="1" applyFill="1" applyBorder="1" applyAlignment="1">
      <alignment horizontal="center" vertical="center" wrapText="1"/>
    </xf>
    <xf numFmtId="0" fontId="6" fillId="11" borderId="12" xfId="0" applyFont="1" applyFill="1" applyBorder="1" applyAlignment="1">
      <alignment horizontal="center" vertical="center"/>
    </xf>
    <xf numFmtId="0" fontId="6" fillId="10" borderId="12" xfId="0" applyFont="1" applyFill="1" applyBorder="1" applyAlignment="1">
      <alignment horizontal="left" vertical="center" wrapText="1"/>
    </xf>
    <xf numFmtId="0" fontId="7" fillId="10" borderId="3" xfId="0" applyFont="1" applyFill="1" applyBorder="1" applyAlignment="1" applyProtection="1">
      <alignment horizontal="center" vertical="center" wrapText="1"/>
    </xf>
    <xf numFmtId="0" fontId="7" fillId="10" borderId="8" xfId="0" applyFont="1" applyFill="1" applyBorder="1" applyAlignment="1">
      <alignment horizontal="center" vertical="center" wrapText="1"/>
    </xf>
    <xf numFmtId="0" fontId="7" fillId="10" borderId="8" xfId="0" applyFont="1" applyFill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5" fillId="10" borderId="3" xfId="0" applyFont="1" applyFill="1" applyBorder="1" applyAlignment="1" applyProtection="1">
      <alignment horizontal="center" vertical="center" wrapText="1"/>
    </xf>
    <xf numFmtId="0" fontId="12" fillId="0" borderId="0" xfId="1" applyFont="1" applyAlignment="1">
      <alignment vertical="center"/>
    </xf>
    <xf numFmtId="0" fontId="7" fillId="0" borderId="27" xfId="0" applyFont="1" applyBorder="1" applyAlignment="1">
      <alignment horizontal="center" vertical="center" wrapText="1"/>
    </xf>
    <xf numFmtId="0" fontId="5" fillId="11" borderId="31" xfId="0" applyFont="1" applyFill="1" applyBorder="1" applyAlignment="1" applyProtection="1">
      <alignment horizontal="center" vertical="center" wrapText="1"/>
    </xf>
    <xf numFmtId="0" fontId="5" fillId="2" borderId="3" xfId="0" applyFont="1" applyFill="1" applyBorder="1" applyAlignment="1" applyProtection="1">
      <alignment horizontal="center" vertical="center" wrapText="1"/>
    </xf>
    <xf numFmtId="0" fontId="4" fillId="0" borderId="0" xfId="0" applyFont="1" applyAlignment="1">
      <alignment horizontal="left" vertical="center"/>
    </xf>
    <xf numFmtId="0" fontId="11" fillId="6" borderId="5" xfId="2" applyFont="1" applyFill="1" applyBorder="1" applyAlignment="1" applyProtection="1">
      <alignment horizontal="center" vertical="center" wrapText="1"/>
      <protection locked="0"/>
    </xf>
    <xf numFmtId="0" fontId="11" fillId="6" borderId="4" xfId="2" applyFont="1" applyFill="1" applyBorder="1" applyAlignment="1" applyProtection="1">
      <alignment horizontal="center" vertical="center" wrapText="1"/>
      <protection locked="0"/>
    </xf>
    <xf numFmtId="0" fontId="11" fillId="6" borderId="6" xfId="2" applyFont="1" applyFill="1" applyBorder="1" applyAlignment="1" applyProtection="1">
      <alignment horizontal="center" vertical="center" wrapText="1"/>
      <protection locked="0"/>
    </xf>
    <xf numFmtId="0" fontId="4" fillId="5" borderId="5" xfId="0" applyFont="1" applyFill="1" applyBorder="1" applyAlignment="1">
      <alignment horizontal="center" vertical="center" wrapText="1"/>
    </xf>
    <xf numFmtId="0" fontId="4" fillId="5" borderId="4" xfId="0" applyFont="1" applyFill="1" applyBorder="1" applyAlignment="1">
      <alignment horizontal="center" vertical="center" wrapText="1"/>
    </xf>
    <xf numFmtId="0" fontId="4" fillId="5" borderId="6" xfId="0" applyFont="1" applyFill="1" applyBorder="1" applyAlignment="1">
      <alignment horizontal="center" vertical="center" wrapText="1"/>
    </xf>
    <xf numFmtId="0" fontId="4" fillId="5" borderId="2" xfId="0" applyFont="1" applyFill="1" applyBorder="1" applyAlignment="1">
      <alignment horizontal="center" vertical="center" wrapText="1"/>
    </xf>
    <xf numFmtId="0" fontId="4" fillId="5" borderId="9" xfId="0" applyFont="1" applyFill="1" applyBorder="1" applyAlignment="1">
      <alignment horizontal="center" vertical="center" wrapText="1"/>
    </xf>
    <xf numFmtId="0" fontId="4" fillId="5" borderId="3" xfId="0" applyFont="1" applyFill="1" applyBorder="1" applyAlignment="1">
      <alignment horizontal="center" vertical="center" wrapText="1"/>
    </xf>
    <xf numFmtId="0" fontId="11" fillId="6" borderId="4" xfId="0" applyFont="1" applyFill="1" applyBorder="1" applyAlignment="1">
      <alignment horizontal="center" vertical="center"/>
    </xf>
    <xf numFmtId="0" fontId="11" fillId="6" borderId="5" xfId="0" applyFont="1" applyFill="1" applyBorder="1" applyAlignment="1">
      <alignment horizontal="center" vertical="center"/>
    </xf>
    <xf numFmtId="0" fontId="11" fillId="6" borderId="6" xfId="0" applyFont="1" applyFill="1" applyBorder="1" applyAlignment="1">
      <alignment horizontal="center" vertical="center"/>
    </xf>
    <xf numFmtId="0" fontId="4" fillId="11" borderId="2" xfId="0" applyFont="1" applyFill="1" applyBorder="1" applyAlignment="1">
      <alignment horizontal="center" vertical="center" wrapText="1"/>
    </xf>
    <xf numFmtId="0" fontId="4" fillId="11" borderId="3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left" vertical="center" wrapText="1"/>
    </xf>
    <xf numFmtId="0" fontId="4" fillId="11" borderId="5" xfId="0" applyFont="1" applyFill="1" applyBorder="1" applyAlignment="1">
      <alignment horizontal="center" vertical="center" wrapText="1"/>
    </xf>
    <xf numFmtId="0" fontId="4" fillId="11" borderId="4" xfId="0" applyFont="1" applyFill="1" applyBorder="1" applyAlignment="1">
      <alignment horizontal="center" vertical="center" wrapText="1"/>
    </xf>
    <xf numFmtId="0" fontId="4" fillId="11" borderId="6" xfId="0" applyFont="1" applyFill="1" applyBorder="1" applyAlignment="1">
      <alignment horizontal="center" vertical="center" wrapText="1"/>
    </xf>
    <xf numFmtId="0" fontId="12" fillId="0" borderId="0" xfId="1" applyFont="1" applyAlignment="1">
      <alignment horizontal="left" vertical="center"/>
    </xf>
    <xf numFmtId="0" fontId="13" fillId="7" borderId="5" xfId="2" applyFont="1" applyFill="1" applyBorder="1" applyAlignment="1">
      <alignment horizontal="center" vertical="center" wrapText="1"/>
    </xf>
    <xf numFmtId="0" fontId="13" fillId="7" borderId="6" xfId="2" applyFont="1" applyFill="1" applyBorder="1" applyAlignment="1">
      <alignment horizontal="center" vertical="center" wrapText="1"/>
    </xf>
    <xf numFmtId="0" fontId="13" fillId="11" borderId="5" xfId="2" applyFont="1" applyFill="1" applyBorder="1" applyAlignment="1">
      <alignment horizontal="center" vertical="center" wrapText="1"/>
    </xf>
    <xf numFmtId="0" fontId="13" fillId="11" borderId="6" xfId="2" applyFont="1" applyFill="1" applyBorder="1" applyAlignment="1">
      <alignment horizontal="center" vertical="center" wrapText="1"/>
    </xf>
    <xf numFmtId="0" fontId="13" fillId="7" borderId="1" xfId="2" applyFont="1" applyFill="1" applyBorder="1" applyAlignment="1">
      <alignment horizontal="center" vertical="center" wrapText="1"/>
    </xf>
    <xf numFmtId="0" fontId="5" fillId="7" borderId="5" xfId="2" applyFont="1" applyFill="1" applyBorder="1" applyAlignment="1">
      <alignment horizontal="center" vertical="center" wrapText="1"/>
    </xf>
    <xf numFmtId="0" fontId="13" fillId="11" borderId="1" xfId="2" applyFont="1" applyFill="1" applyBorder="1" applyAlignment="1">
      <alignment horizontal="center" vertical="center" wrapText="1"/>
    </xf>
    <xf numFmtId="0" fontId="4" fillId="11" borderId="9" xfId="0" applyFont="1" applyFill="1" applyBorder="1" applyAlignment="1">
      <alignment horizontal="center" vertical="center" wrapText="1"/>
    </xf>
    <xf numFmtId="0" fontId="4" fillId="11" borderId="12" xfId="0" applyFont="1" applyFill="1" applyBorder="1" applyAlignment="1">
      <alignment horizontal="center" vertical="center" wrapText="1"/>
    </xf>
    <xf numFmtId="0" fontId="4" fillId="11" borderId="13" xfId="0" applyFont="1" applyFill="1" applyBorder="1" applyAlignment="1">
      <alignment horizontal="center" vertical="center" wrapText="1"/>
    </xf>
    <xf numFmtId="0" fontId="4" fillId="11" borderId="14" xfId="0" applyFont="1" applyFill="1" applyBorder="1" applyAlignment="1">
      <alignment horizontal="center" vertical="center" wrapText="1"/>
    </xf>
    <xf numFmtId="0" fontId="4" fillId="11" borderId="15" xfId="0" applyFont="1" applyFill="1" applyBorder="1" applyAlignment="1">
      <alignment horizontal="center" vertical="center" wrapText="1"/>
    </xf>
    <xf numFmtId="0" fontId="4" fillId="11" borderId="16" xfId="0" applyFont="1" applyFill="1" applyBorder="1" applyAlignment="1">
      <alignment horizontal="center" vertical="center" wrapText="1"/>
    </xf>
    <xf numFmtId="0" fontId="4" fillId="11" borderId="11" xfId="0" applyFont="1" applyFill="1" applyBorder="1" applyAlignment="1">
      <alignment horizontal="center" vertical="center" wrapText="1"/>
    </xf>
    <xf numFmtId="0" fontId="4" fillId="11" borderId="7" xfId="0" applyFont="1" applyFill="1" applyBorder="1" applyAlignment="1">
      <alignment horizontal="center" vertical="center" wrapText="1"/>
    </xf>
    <xf numFmtId="0" fontId="4" fillId="11" borderId="10" xfId="0" applyFont="1" applyFill="1" applyBorder="1" applyAlignment="1">
      <alignment horizontal="center" vertical="center" wrapText="1"/>
    </xf>
    <xf numFmtId="0" fontId="4" fillId="11" borderId="8" xfId="0" applyFont="1" applyFill="1" applyBorder="1" applyAlignment="1">
      <alignment horizontal="center" vertical="center" wrapText="1"/>
    </xf>
    <xf numFmtId="0" fontId="6" fillId="10" borderId="12" xfId="0" applyFont="1" applyFill="1" applyBorder="1" applyAlignment="1">
      <alignment horizontal="center" vertical="center"/>
    </xf>
    <xf numFmtId="0" fontId="6" fillId="11" borderId="12" xfId="0" applyFont="1" applyFill="1" applyBorder="1" applyAlignment="1">
      <alignment horizontal="center" vertical="center" wrapText="1"/>
    </xf>
    <xf numFmtId="0" fontId="17" fillId="9" borderId="12" xfId="0" applyFont="1" applyFill="1" applyBorder="1" applyAlignment="1">
      <alignment horizontal="center" vertical="center"/>
    </xf>
    <xf numFmtId="0" fontId="6" fillId="10" borderId="12" xfId="0" applyFont="1" applyFill="1" applyBorder="1" applyAlignment="1">
      <alignment horizontal="center" vertical="center" wrapText="1"/>
    </xf>
    <xf numFmtId="0" fontId="17" fillId="11" borderId="12" xfId="0" applyFont="1" applyFill="1" applyBorder="1" applyAlignment="1">
      <alignment horizontal="center" vertical="center" wrapText="1"/>
    </xf>
    <xf numFmtId="0" fontId="17" fillId="11" borderId="12" xfId="0" applyFont="1" applyFill="1" applyBorder="1" applyAlignment="1">
      <alignment horizontal="center"/>
    </xf>
    <xf numFmtId="0" fontId="11" fillId="6" borderId="1" xfId="0" applyFont="1" applyFill="1" applyBorder="1" applyAlignment="1">
      <alignment horizontal="center" vertical="center"/>
    </xf>
    <xf numFmtId="0" fontId="4" fillId="5" borderId="2" xfId="0" applyFont="1" applyFill="1" applyBorder="1" applyAlignment="1">
      <alignment horizontal="center" vertical="center" textRotation="90" wrapText="1"/>
    </xf>
    <xf numFmtId="0" fontId="4" fillId="5" borderId="9" xfId="0" applyFont="1" applyFill="1" applyBorder="1" applyAlignment="1">
      <alignment horizontal="center" vertical="center" textRotation="90" wrapText="1"/>
    </xf>
    <xf numFmtId="0" fontId="4" fillId="5" borderId="3" xfId="0" applyFont="1" applyFill="1" applyBorder="1" applyAlignment="1">
      <alignment horizontal="center" vertical="center" textRotation="90" wrapText="1"/>
    </xf>
    <xf numFmtId="0" fontId="4" fillId="5" borderId="11" xfId="0" applyFont="1" applyFill="1" applyBorder="1" applyAlignment="1">
      <alignment horizontal="center" vertical="center" wrapText="1"/>
    </xf>
    <xf numFmtId="0" fontId="4" fillId="5" borderId="7" xfId="0" applyFont="1" applyFill="1" applyBorder="1" applyAlignment="1">
      <alignment horizontal="center" vertical="center" wrapText="1"/>
    </xf>
    <xf numFmtId="0" fontId="4" fillId="5" borderId="10" xfId="0" applyFont="1" applyFill="1" applyBorder="1" applyAlignment="1">
      <alignment horizontal="center" vertical="center" wrapText="1"/>
    </xf>
    <xf numFmtId="0" fontId="4" fillId="5" borderId="8" xfId="0" applyFont="1" applyFill="1" applyBorder="1" applyAlignment="1">
      <alignment horizontal="center" vertical="center" wrapText="1"/>
    </xf>
    <xf numFmtId="0" fontId="17" fillId="11" borderId="12" xfId="0" applyFont="1" applyFill="1" applyBorder="1" applyAlignment="1">
      <alignment horizontal="center" vertical="center"/>
    </xf>
    <xf numFmtId="0" fontId="6" fillId="10" borderId="17" xfId="0" applyFont="1" applyFill="1" applyBorder="1" applyAlignment="1">
      <alignment horizontal="center" vertical="top"/>
    </xf>
    <xf numFmtId="0" fontId="6" fillId="10" borderId="18" xfId="0" applyFont="1" applyFill="1" applyBorder="1" applyAlignment="1">
      <alignment horizontal="center" vertical="top"/>
    </xf>
    <xf numFmtId="0" fontId="6" fillId="10" borderId="17" xfId="0" applyFont="1" applyFill="1" applyBorder="1" applyAlignment="1">
      <alignment horizontal="center" vertical="top" wrapText="1"/>
    </xf>
    <xf numFmtId="0" fontId="6" fillId="10" borderId="18" xfId="0" applyFont="1" applyFill="1" applyBorder="1" applyAlignment="1">
      <alignment horizontal="center" vertical="top" wrapText="1"/>
    </xf>
    <xf numFmtId="0" fontId="6" fillId="10" borderId="12" xfId="0" applyFont="1" applyFill="1" applyBorder="1" applyAlignment="1">
      <alignment horizontal="center" vertical="top"/>
    </xf>
    <xf numFmtId="0" fontId="4" fillId="11" borderId="22" xfId="0" applyFont="1" applyFill="1" applyBorder="1" applyAlignment="1">
      <alignment horizontal="center" vertical="center"/>
    </xf>
    <xf numFmtId="0" fontId="4" fillId="11" borderId="24" xfId="0" applyFont="1" applyFill="1" applyBorder="1" applyAlignment="1">
      <alignment horizontal="center" vertical="center"/>
    </xf>
    <xf numFmtId="0" fontId="4" fillId="11" borderId="12" xfId="0" applyFont="1" applyFill="1" applyBorder="1" applyAlignment="1">
      <alignment horizontal="center" vertical="center"/>
    </xf>
    <xf numFmtId="0" fontId="4" fillId="11" borderId="12" xfId="0" applyFont="1" applyFill="1" applyBorder="1" applyAlignment="1">
      <alignment horizontal="center"/>
    </xf>
    <xf numFmtId="0" fontId="4" fillId="11" borderId="23" xfId="0" applyFont="1" applyFill="1" applyBorder="1" applyAlignment="1">
      <alignment horizontal="center"/>
    </xf>
    <xf numFmtId="0" fontId="4" fillId="11" borderId="25" xfId="0" applyFont="1" applyFill="1" applyBorder="1" applyAlignment="1">
      <alignment horizontal="center" vertical="center"/>
    </xf>
    <xf numFmtId="0" fontId="4" fillId="11" borderId="25" xfId="0" applyFont="1" applyFill="1" applyBorder="1" applyAlignment="1">
      <alignment horizontal="center"/>
    </xf>
    <xf numFmtId="0" fontId="4" fillId="11" borderId="26" xfId="0" applyFont="1" applyFill="1" applyBorder="1" applyAlignment="1">
      <alignment horizontal="center"/>
    </xf>
    <xf numFmtId="0" fontId="6" fillId="10" borderId="22" xfId="0" applyFont="1" applyFill="1" applyBorder="1" applyAlignment="1">
      <alignment horizontal="left" vertical="center"/>
    </xf>
    <xf numFmtId="0" fontId="17" fillId="11" borderId="19" xfId="0" applyFont="1" applyFill="1" applyBorder="1" applyAlignment="1">
      <alignment horizontal="center" vertical="center"/>
    </xf>
    <xf numFmtId="0" fontId="17" fillId="11" borderId="22" xfId="0" applyFont="1" applyFill="1" applyBorder="1" applyAlignment="1">
      <alignment horizontal="center" vertical="center"/>
    </xf>
    <xf numFmtId="0" fontId="17" fillId="11" borderId="20" xfId="0" applyFont="1" applyFill="1" applyBorder="1" applyAlignment="1">
      <alignment horizontal="center" vertical="center" wrapText="1"/>
    </xf>
    <xf numFmtId="0" fontId="17" fillId="11" borderId="20" xfId="0" applyFont="1" applyFill="1" applyBorder="1" applyAlignment="1">
      <alignment horizontal="center" vertical="center"/>
    </xf>
    <xf numFmtId="0" fontId="17" fillId="11" borderId="21" xfId="0" applyFont="1" applyFill="1" applyBorder="1" applyAlignment="1">
      <alignment horizontal="center" vertical="center"/>
    </xf>
    <xf numFmtId="0" fontId="6" fillId="11" borderId="12" xfId="0" applyFont="1" applyFill="1" applyBorder="1" applyAlignment="1">
      <alignment horizontal="center" vertical="center"/>
    </xf>
    <xf numFmtId="0" fontId="6" fillId="10" borderId="28" xfId="0" applyFont="1" applyFill="1" applyBorder="1" applyAlignment="1">
      <alignment horizontal="center"/>
    </xf>
    <xf numFmtId="0" fontId="6" fillId="10" borderId="29" xfId="0" applyFont="1" applyFill="1" applyBorder="1" applyAlignment="1">
      <alignment horizontal="center"/>
    </xf>
    <xf numFmtId="0" fontId="6" fillId="10" borderId="27" xfId="0" applyFont="1" applyFill="1" applyBorder="1" applyAlignment="1">
      <alignment horizontal="center"/>
    </xf>
    <xf numFmtId="0" fontId="6" fillId="10" borderId="12" xfId="0" applyFont="1" applyFill="1" applyBorder="1" applyAlignment="1">
      <alignment horizontal="left" vertical="center" wrapText="1"/>
    </xf>
    <xf numFmtId="0" fontId="6" fillId="11" borderId="28" xfId="0" applyFont="1" applyFill="1" applyBorder="1" applyAlignment="1">
      <alignment horizontal="center"/>
    </xf>
    <xf numFmtId="0" fontId="6" fillId="11" borderId="27" xfId="0" applyFont="1" applyFill="1" applyBorder="1" applyAlignment="1">
      <alignment horizontal="center"/>
    </xf>
    <xf numFmtId="0" fontId="6" fillId="11" borderId="12" xfId="0" applyFont="1" applyFill="1" applyBorder="1" applyAlignment="1">
      <alignment horizontal="center" wrapText="1"/>
    </xf>
    <xf numFmtId="0" fontId="4" fillId="17" borderId="2" xfId="0" applyFont="1" applyFill="1" applyBorder="1" applyAlignment="1">
      <alignment horizontal="center" vertical="center" wrapText="1"/>
    </xf>
    <xf numFmtId="0" fontId="4" fillId="17" borderId="3" xfId="0" applyFont="1" applyFill="1" applyBorder="1" applyAlignment="1">
      <alignment horizontal="center" vertical="center" wrapText="1"/>
    </xf>
    <xf numFmtId="0" fontId="4" fillId="17" borderId="1" xfId="0" applyFont="1" applyFill="1" applyBorder="1" applyAlignment="1">
      <alignment horizontal="center" vertical="center" wrapText="1"/>
    </xf>
    <xf numFmtId="0" fontId="7" fillId="17" borderId="10" xfId="0" applyFont="1" applyFill="1" applyBorder="1" applyAlignment="1">
      <alignment horizontal="center" vertical="center" wrapText="1"/>
    </xf>
    <xf numFmtId="0" fontId="7" fillId="17" borderId="8" xfId="0" applyFont="1" applyFill="1" applyBorder="1" applyAlignment="1">
      <alignment horizontal="center" vertical="center" wrapText="1"/>
    </xf>
    <xf numFmtId="0" fontId="6" fillId="10" borderId="22" xfId="0" applyFont="1" applyFill="1" applyBorder="1" applyAlignment="1">
      <alignment horizontal="left" vertical="center" wrapText="1"/>
    </xf>
    <xf numFmtId="0" fontId="7" fillId="0" borderId="12" xfId="5" applyFont="1" applyBorder="1" applyAlignment="1">
      <alignment horizontal="center" vertical="center" wrapText="1"/>
    </xf>
    <xf numFmtId="0" fontId="6" fillId="11" borderId="12" xfId="6" applyFont="1" applyFill="1" applyBorder="1" applyAlignment="1" applyProtection="1">
      <alignment horizontal="center" vertical="center" wrapText="1"/>
    </xf>
    <xf numFmtId="0" fontId="6" fillId="10" borderId="12" xfId="7" applyFont="1" applyFill="1" applyBorder="1" applyAlignment="1" applyProtection="1">
      <alignment horizontal="center" vertical="center" wrapText="1"/>
    </xf>
    <xf numFmtId="0" fontId="6" fillId="4" borderId="12" xfId="7" applyFont="1" applyBorder="1" applyAlignment="1" applyProtection="1">
      <alignment horizontal="center" vertical="center" wrapText="1"/>
    </xf>
    <xf numFmtId="0" fontId="6" fillId="0" borderId="0" xfId="0" applyFont="1" applyAlignment="1">
      <alignment wrapText="1"/>
    </xf>
    <xf numFmtId="0" fontId="4" fillId="5" borderId="1" xfId="0" applyFont="1" applyFill="1" applyBorder="1" applyAlignment="1">
      <alignment horizontal="center" vertical="center" wrapText="1"/>
    </xf>
    <xf numFmtId="0" fontId="4" fillId="18" borderId="1" xfId="0" applyFont="1" applyFill="1" applyBorder="1" applyAlignment="1">
      <alignment horizontal="center" vertical="center" wrapText="1"/>
    </xf>
    <xf numFmtId="0" fontId="6" fillId="19" borderId="1" xfId="0" applyFont="1" applyFill="1" applyBorder="1" applyAlignment="1">
      <alignment horizontal="center" vertical="center"/>
    </xf>
    <xf numFmtId="3" fontId="6" fillId="0" borderId="12" xfId="0" applyNumberFormat="1" applyFont="1" applyBorder="1"/>
    <xf numFmtId="0" fontId="4" fillId="0" borderId="1" xfId="3" applyFont="1" applyFill="1" applyBorder="1" applyAlignment="1">
      <alignment vertical="center" wrapText="1"/>
    </xf>
    <xf numFmtId="0" fontId="6" fillId="8" borderId="27" xfId="0" applyFont="1" applyFill="1" applyBorder="1"/>
    <xf numFmtId="0" fontId="6" fillId="10" borderId="31" xfId="0" applyFont="1" applyFill="1" applyBorder="1"/>
    <xf numFmtId="0" fontId="7" fillId="20" borderId="12" xfId="0" applyFont="1" applyFill="1" applyBorder="1" applyAlignment="1">
      <alignment vertical="center"/>
    </xf>
    <xf numFmtId="0" fontId="5" fillId="11" borderId="5" xfId="6" applyFont="1" applyFill="1" applyBorder="1" applyAlignment="1">
      <alignment horizontal="center" vertical="center" wrapText="1"/>
    </xf>
    <xf numFmtId="0" fontId="13" fillId="11" borderId="6" xfId="6" applyFont="1" applyFill="1" applyBorder="1" applyAlignment="1">
      <alignment horizontal="center" vertical="center" wrapText="1"/>
    </xf>
    <xf numFmtId="0" fontId="13" fillId="11" borderId="5" xfId="6" applyFont="1" applyFill="1" applyBorder="1" applyAlignment="1">
      <alignment horizontal="center" vertical="center" wrapText="1"/>
    </xf>
  </cellXfs>
  <cellStyles count="8">
    <cellStyle name="20% — акцент1" xfId="2" builtinId="30"/>
    <cellStyle name="20% — акцент1 2" xfId="6"/>
    <cellStyle name="40% — акцент1" xfId="3" builtinId="31"/>
    <cellStyle name="40% - Акцент1 2" xfId="4"/>
    <cellStyle name="40% — акцент1 2" xfId="7"/>
    <cellStyle name="Гиперссылка" xfId="1" builtinId="8"/>
    <cellStyle name="Обычный" xfId="0" builtinId="0"/>
    <cellStyle name="Обычный 2 2" xfId="5"/>
  </cellStyles>
  <dxfs count="4">
    <dxf>
      <font>
        <strike val="0"/>
        <outline val="0"/>
        <shadow val="0"/>
        <u val="none"/>
        <vertAlign val="baseline"/>
        <sz val="10"/>
        <name val="Times New Roman"/>
        <scheme val="none"/>
      </font>
    </dxf>
    <dxf>
      <font>
        <strike val="0"/>
        <outline val="0"/>
        <shadow val="0"/>
        <u val="none"/>
        <vertAlign val="baseline"/>
        <sz val="10"/>
        <name val="Times New Roman"/>
        <scheme val="none"/>
      </font>
    </dxf>
    <dxf>
      <font>
        <strike val="0"/>
        <outline val="0"/>
        <shadow val="0"/>
        <u val="none"/>
        <vertAlign val="baseline"/>
        <sz val="10"/>
        <name val="Times New Roman"/>
        <scheme val="none"/>
      </font>
    </dxf>
    <dxf>
      <font>
        <strike val="0"/>
        <outline val="0"/>
        <shadow val="0"/>
        <u val="none"/>
        <vertAlign val="baseline"/>
        <sz val="10"/>
        <name val="Times New Roman"/>
        <scheme val="none"/>
      </font>
      <fill>
        <patternFill patternType="solid">
          <fgColor indexed="64"/>
          <bgColor theme="3" tint="0.59999389629810485"/>
        </patternFill>
      </fill>
    </dxf>
  </dxfs>
  <tableStyles count="0" defaultTableStyle="TableStyleMedium2" defaultPivotStyle="PivotStyleLight16"/>
  <colors>
    <mruColors>
      <color rgb="FFFF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externalLink" Target="externalLinks/externalLink4.xml"/><Relationship Id="rId47" Type="http://schemas.openxmlformats.org/officeDocument/2006/relationships/calcChain" Target="calcChain.xml"/><Relationship Id="rId50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externalLink" Target="externalLinks/externalLink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externalLink" Target="externalLinks/externalLink2.xml"/><Relationship Id="rId45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connections" Target="connection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theme" Target="theme/theme1.xml"/><Relationship Id="rId48" Type="http://schemas.openxmlformats.org/officeDocument/2006/relationships/customXml" Target="../customXml/item1.xml"/><Relationship Id="rId8" Type="http://schemas.openxmlformats.org/officeDocument/2006/relationships/worksheet" Target="worksheets/sheet8.xml"/><Relationship Id="rId51" Type="http://schemas.openxmlformats.org/officeDocument/2006/relationships/customXml" Target="../customXml/item4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68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69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70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71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72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73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74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75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76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77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78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79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80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81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82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83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84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85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86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87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88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89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90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('Таблица 1.1+ общее'!$D$2,'Таблица 1.1+ общее'!$F$2,'Таблица 1.1+ общее'!$H$2,'Таблица 1.1+ общее'!$J$2,'Таблица 1.1+ общее'!$L$2,'Таблица 1.1+ общее'!$N$2)</c:f>
              <c:strCache>
                <c:ptCount val="6"/>
                <c:pt idx="0">
                  <c:v>локальные</c:v>
                </c:pt>
                <c:pt idx="1">
                  <c:v>муниципальные</c:v>
                </c:pt>
                <c:pt idx="2">
                  <c:v>межмуниципальные</c:v>
                </c:pt>
                <c:pt idx="3">
                  <c:v>региональные</c:v>
                </c:pt>
                <c:pt idx="4">
                  <c:v>межрегиональные</c:v>
                </c:pt>
                <c:pt idx="5">
                  <c:v>федеральные</c:v>
                </c:pt>
              </c:strCache>
            </c:strRef>
          </c:cat>
          <c:val>
            <c:numRef>
              <c:f>('Таблица 1.1+'!#REF!,'Таблица 1.1+'!#REF!,'Таблица 1.1+'!#REF!,'Таблица 1.1+'!#REF!,'Таблица 1.1+'!#REF!,'Таблица 1.1+'!#REF!)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0C1-4709-B2A0-6570E50D791E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7708247048888801"/>
          <c:y val="0.37917693910631739"/>
          <c:w val="0.20430500389690595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'Таблица 1.1+ общее'!$N$3</c:f>
              <c:strCache>
                <c:ptCount val="1"/>
                <c:pt idx="0">
                  <c:v>2022 г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('Таблица 1.1+ общее'!$D$2,'Таблица 1.1+ общее'!$F$2,'Таблица 1.1+ общее'!$H$2,'Таблица 1.1+ общее'!$J$2,'Таблица 1.1+ общее'!$L$2,'Таблица 1.1+ общее'!$N$2)</c:f>
              <c:strCache>
                <c:ptCount val="6"/>
                <c:pt idx="0">
                  <c:v>локальные</c:v>
                </c:pt>
                <c:pt idx="1">
                  <c:v>муниципальные</c:v>
                </c:pt>
                <c:pt idx="2">
                  <c:v>межмуниципальные</c:v>
                </c:pt>
                <c:pt idx="3">
                  <c:v>региональные</c:v>
                </c:pt>
                <c:pt idx="4">
                  <c:v>межрегиональные</c:v>
                </c:pt>
                <c:pt idx="5">
                  <c:v>федеральные</c:v>
                </c:pt>
              </c:strCache>
            </c:strRef>
          </c:cat>
          <c:val>
            <c:numRef>
              <c:f>('Таблица 1.1+'!#REF!,'Таблица 1.1+'!#REF!,'Таблица 1.1+'!#REF!,'Таблица 1.1+'!#REF!,'Таблица 1.1+'!#REF!,'Таблица 1.1+'!#REF!)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ECA-4802-9B38-FE60A77744DE}"/>
            </c:ext>
          </c:extLst>
        </c:ser>
        <c:ser>
          <c:idx val="1"/>
          <c:order val="1"/>
          <c:tx>
            <c:strRef>
              <c:f>'Таблица 1.1+ общее'!$O$3</c:f>
              <c:strCache>
                <c:ptCount val="1"/>
                <c:pt idx="0">
                  <c:v>2023 г</c:v>
                </c:pt>
              </c:strCache>
            </c:strRef>
          </c:tx>
          <c:spPr>
            <a:solidFill>
              <a:schemeClr val="tx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('Таблица 1.1+ общее'!$D$2,'Таблица 1.1+ общее'!$F$2,'Таблица 1.1+ общее'!$H$2,'Таблица 1.1+ общее'!$J$2,'Таблица 1.1+ общее'!$L$2,'Таблица 1.1+ общее'!$N$2)</c:f>
              <c:strCache>
                <c:ptCount val="6"/>
                <c:pt idx="0">
                  <c:v>локальные</c:v>
                </c:pt>
                <c:pt idx="1">
                  <c:v>муниципальные</c:v>
                </c:pt>
                <c:pt idx="2">
                  <c:v>межмуниципальные</c:v>
                </c:pt>
                <c:pt idx="3">
                  <c:v>региональные</c:v>
                </c:pt>
                <c:pt idx="4">
                  <c:v>межрегиональные</c:v>
                </c:pt>
                <c:pt idx="5">
                  <c:v>федеральные</c:v>
                </c:pt>
              </c:strCache>
            </c:strRef>
          </c:cat>
          <c:val>
            <c:numRef>
              <c:f>('Таблица 1.1+'!#REF!,'Таблица 1.1+'!#REF!,'Таблица 1.1+'!#REF!,'Таблица 1.1+'!#REF!,'Таблица 1.1+'!#REF!,'Таблица 1.1+'!#REF!)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8ECA-4802-9B38-FE60A77744D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10780712"/>
        <c:axId val="510781104"/>
      </c:barChart>
      <c:catAx>
        <c:axId val="51078071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ru-RU"/>
          </a:p>
        </c:txPr>
        <c:crossAx val="510781104"/>
        <c:crosses val="autoZero"/>
        <c:auto val="1"/>
        <c:lblAlgn val="ctr"/>
        <c:lblOffset val="100"/>
        <c:noMultiLvlLbl val="0"/>
      </c:catAx>
      <c:valAx>
        <c:axId val="51078110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ru-RU">
                    <a:latin typeface="Arial" panose="020B0604020202020204" pitchFamily="34" charset="0"/>
                    <a:cs typeface="Arial" panose="020B0604020202020204" pitchFamily="34" charset="0"/>
                  </a:rPr>
                  <a:t>Распределение</a:t>
                </a:r>
                <a:r>
                  <a:rPr lang="ru-RU" baseline="0">
                    <a:latin typeface="Arial" panose="020B0604020202020204" pitchFamily="34" charset="0"/>
                    <a:cs typeface="Arial" panose="020B0604020202020204" pitchFamily="34" charset="0"/>
                  </a:rPr>
                  <a:t> ЧС по масштабам АППГ</a:t>
                </a:r>
                <a:endParaRPr lang="ru-RU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34773381452318453"/>
              <c:y val="0.924074074074074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ru-R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ru-RU"/>
          </a:p>
        </c:txPr>
        <c:crossAx val="510780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bar"/>
        <c:grouping val="clustered"/>
        <c:varyColors val="0"/>
        <c:ser>
          <c:idx val="0"/>
          <c:order val="0"/>
          <c:invertIfNegative val="0"/>
          <c:dLbls>
            <c:spPr>
              <a:noFill/>
              <a:ln>
                <a:noFill/>
              </a:ln>
              <a:effectLst/>
            </c:sp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Ref>
              <c:f>('1.1 оперативные показатели'!$B$3,'1.1 оперативные показатели'!$B$15,'1.1 оперативные показатели'!$B$26,'1.1 оперативные показатели'!$B$33,'1.1 оперативные показатели'!$B$48,'1.1 оперативные показатели'!$B$57,'1.1 оперативные показатели'!$B$65,'1.1 оперативные показатели'!$B$77)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('1.1 оперативные показатели'!$E$3,'1.1 оперативные показатели'!$E$15,'1.1 оперативные показатели'!$E$26,'1.1 оперативные показатели'!$E$33,'1.1 оперативные показатели'!$E$48,'1.1 оперативные показатели'!$E$57,'1.1 оперативные показатели'!$E$65,'1.1 оперативные показатели'!$E$77)</c:f>
              <c:numCache>
                <c:formatCode>General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50DB-44D6-AE66-E61697FF45D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510783064"/>
        <c:axId val="510779536"/>
      </c:barChart>
      <c:catAx>
        <c:axId val="51078306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itchFamily="34" charset="0"/>
                <a:ea typeface="+mn-ea"/>
                <a:cs typeface="Arial" pitchFamily="34" charset="0"/>
              </a:defRPr>
            </a:pPr>
            <a:endParaRPr lang="ru-RU"/>
          </a:p>
        </c:txPr>
        <c:crossAx val="510779536"/>
        <c:crosses val="autoZero"/>
        <c:auto val="1"/>
        <c:lblAlgn val="ctr"/>
        <c:lblOffset val="100"/>
        <c:noMultiLvlLbl val="0"/>
      </c:catAx>
      <c:valAx>
        <c:axId val="51077953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ru-RU" b="0">
                    <a:latin typeface="Arial" pitchFamily="34" charset="0"/>
                    <a:cs typeface="Arial" pitchFamily="34" charset="0"/>
                  </a:rPr>
                  <a:t>Количество ЧС, ед.</a:t>
                </a:r>
              </a:p>
            </c:rich>
          </c:tx>
          <c:layout/>
          <c:overlay val="0"/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itchFamily="34" charset="0"/>
                <a:ea typeface="+mn-ea"/>
                <a:cs typeface="Arial" pitchFamily="34" charset="0"/>
              </a:defRPr>
            </a:pPr>
            <a:endParaRPr lang="ru-RU"/>
          </a:p>
        </c:txPr>
        <c:crossAx val="5107830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 оперативные показатели'!$C$1:$D$2</c:f>
              <c:strCache>
                <c:ptCount val="2"/>
                <c:pt idx="0">
                  <c:v>Техногенные ЧС, ед.</c:v>
                </c:pt>
                <c:pt idx="1">
                  <c:v>Природные ЧС, ед.</c:v>
                </c:pt>
              </c:strCache>
            </c:strRef>
          </c:cat>
          <c:val>
            <c:numRef>
              <c:f>('1.1 оперативные показатели'!$C$101,'1.1 оперативные показатели'!$D$101)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0C1-4709-B2A0-6570E50D791E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7708247048888801"/>
          <c:y val="0.37917693910631739"/>
          <c:w val="0.20430500389690595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('1.6 ЧС техноген ФО'!$B$5,'1.6 ЧС техноген ФО'!$B$17,'1.6 ЧС техноген ФО'!$B$28,'1.6 ЧС техноген ФО'!$B$35,'1.6 ЧС техноген ФО'!$B$50,'1.6 ЧС техноген ФО'!$B$59,'1.6 ЧС техноген ФО'!$B$67,'1.6 ЧС техноген ФО'!$B$79)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('1.6 ЧС техноген ФО'!$C$5,'1.6 ЧС техноген ФО'!$C$17,'1.6 ЧС техноген ФО'!$C$28,'1.6 ЧС техноген ФО'!$C$35,'1.6 ЧС техноген ФО'!$C$50,'1.6 ЧС техноген ФО'!$C$59,'1.6 ЧС техноген ФО'!$C$67,'1.6 ЧС техноген ФО'!$C$79)</c:f>
              <c:numCache>
                <c:formatCode>General</c:formatCode>
                <c:ptCount val="8"/>
                <c:pt idx="0">
                  <c:v>21</c:v>
                </c:pt>
                <c:pt idx="1">
                  <c:v>20</c:v>
                </c:pt>
                <c:pt idx="2">
                  <c:v>5</c:v>
                </c:pt>
                <c:pt idx="3">
                  <c:v>21</c:v>
                </c:pt>
                <c:pt idx="4">
                  <c:v>43</c:v>
                </c:pt>
                <c:pt idx="5">
                  <c:v>6</c:v>
                </c:pt>
                <c:pt idx="6">
                  <c:v>10</c:v>
                </c:pt>
                <c:pt idx="7">
                  <c:v>38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5593-4F2F-B8EB-43C82A4C149B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bg2">
                <a:lumMod val="2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('1.6 ЧС техноген ФО'!$B$5,'1.6 ЧС техноген ФО'!$B$17,'1.6 ЧС техноген ФО'!$B$28,'1.6 ЧС техноген ФО'!$B$35,'1.6 ЧС техноген ФО'!$B$50,'1.6 ЧС техноген ФО'!$B$59,'1.6 ЧС техноген ФО'!$B$67,'1.6 ЧС техноген ФО'!$B$79)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('1.6 ЧС техноген ФО'!$D$5,'1.6 ЧС техноген ФО'!$D$17,'1.6 ЧС техноген ФО'!$D$28,'1.6 ЧС техноген ФО'!$D$35,'1.6 ЧС техноген ФО'!$D$50,'1.6 ЧС техноген ФО'!$D$59,'1.6 ЧС техноген ФО'!$D$67,'1.6 ЧС техноген ФО'!$D$79)</c:f>
              <c:numCache>
                <c:formatCode>General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5593-4F2F-B8EB-43C82A4C149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610645984"/>
        <c:axId val="610645592"/>
      </c:barChart>
      <c:catAx>
        <c:axId val="61064598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5592"/>
        <c:crosses val="autoZero"/>
        <c:auto val="1"/>
        <c:lblAlgn val="ctr"/>
        <c:lblOffset val="100"/>
        <c:noMultiLvlLbl val="0"/>
      </c:catAx>
      <c:valAx>
        <c:axId val="61064559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59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('1.6 ЧС техноген ФО'!$B$6,'1.6 ЧС техноген ФО'!$B$7,'1.6 ЧС техноген ФО'!$B$8,'1.6 ЧС техноген ФО'!$B$9,'1.6 ЧС техноген ФО'!$B$10,'1.6 ЧС техноген ФО'!$B$11,'1.6 ЧС техноген ФО'!$B$12,'1.6 ЧС техноген ФО'!$B$13,'1.6 ЧС техноген ФО'!$B$14,'1.6 ЧС техноген ФО'!$B$15,'1.6 ЧС техноген ФО'!$B$16)</c:f>
              <c:strCache>
                <c:ptCount val="11"/>
                <c:pt idx="0">
                  <c:v>Республика Бурятия</c:v>
                </c:pt>
                <c:pt idx="1">
                  <c:v>Республика Саха (Якутия)</c:v>
                </c:pt>
                <c:pt idx="2">
                  <c:v>Забайкальский край</c:v>
                </c:pt>
                <c:pt idx="3">
                  <c:v>Камчатский край</c:v>
                </c:pt>
                <c:pt idx="4">
                  <c:v>Приморский край</c:v>
                </c:pt>
                <c:pt idx="5">
                  <c:v>Хабаровский край</c:v>
                </c:pt>
                <c:pt idx="6">
                  <c:v>Амурская область</c:v>
                </c:pt>
                <c:pt idx="7">
                  <c:v>Магаданская область</c:v>
                </c:pt>
                <c:pt idx="8">
                  <c:v>Сахалинская область</c:v>
                </c:pt>
                <c:pt idx="9">
                  <c:v>Еврейская автономная область</c:v>
                </c:pt>
                <c:pt idx="10">
                  <c:v>Чукотский автономный округ</c:v>
                </c:pt>
              </c:strCache>
            </c:strRef>
          </c:cat>
          <c:val>
            <c:numRef>
              <c:f>('1.6 ЧС техноген ФО'!$C$6,'1.6 ЧС техноген ФО'!$C$7,'1.6 ЧС техноген ФО'!$C$8,'1.6 ЧС техноген ФО'!$C$9,'1.6 ЧС техноген ФО'!$C$10,'1.6 ЧС техноген ФО'!$C$11,'1.6 ЧС техноген ФО'!$C$12,'1.6 ЧС техноген ФО'!$C$13,'1.6 ЧС техноген ФО'!$C$14,'1.6 ЧС техноген ФО'!$C$15,'1.6 ЧС техноген ФО'!$C$16)</c:f>
              <c:numCache>
                <c:formatCode>General</c:formatCode>
                <c:ptCount val="11"/>
                <c:pt idx="0">
                  <c:v>3</c:v>
                </c:pt>
                <c:pt idx="1">
                  <c:v>3</c:v>
                </c:pt>
                <c:pt idx="2">
                  <c:v>3</c:v>
                </c:pt>
                <c:pt idx="3">
                  <c:v>2</c:v>
                </c:pt>
                <c:pt idx="4">
                  <c:v>4</c:v>
                </c:pt>
                <c:pt idx="5">
                  <c:v>2</c:v>
                </c:pt>
                <c:pt idx="6">
                  <c:v>2</c:v>
                </c:pt>
                <c:pt idx="7">
                  <c:v>0</c:v>
                </c:pt>
                <c:pt idx="8">
                  <c:v>2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C23-45F6-B3BF-57C27DE21113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('1.6 ЧС техноген ФО'!$B$6,'1.6 ЧС техноген ФО'!$B$7,'1.6 ЧС техноген ФО'!$B$8,'1.6 ЧС техноген ФО'!$B$9,'1.6 ЧС техноген ФО'!$B$10,'1.6 ЧС техноген ФО'!$B$11,'1.6 ЧС техноген ФО'!$B$12,'1.6 ЧС техноген ФО'!$B$13,'1.6 ЧС техноген ФО'!$B$14,'1.6 ЧС техноген ФО'!$B$15,'1.6 ЧС техноген ФО'!$B$16)</c:f>
              <c:strCache>
                <c:ptCount val="11"/>
                <c:pt idx="0">
                  <c:v>Республика Бурятия</c:v>
                </c:pt>
                <c:pt idx="1">
                  <c:v>Республика Саха (Якутия)</c:v>
                </c:pt>
                <c:pt idx="2">
                  <c:v>Забайкальский край</c:v>
                </c:pt>
                <c:pt idx="3">
                  <c:v>Камчатский край</c:v>
                </c:pt>
                <c:pt idx="4">
                  <c:v>Приморский край</c:v>
                </c:pt>
                <c:pt idx="5">
                  <c:v>Хабаровский край</c:v>
                </c:pt>
                <c:pt idx="6">
                  <c:v>Амурская область</c:v>
                </c:pt>
                <c:pt idx="7">
                  <c:v>Магаданская область</c:v>
                </c:pt>
                <c:pt idx="8">
                  <c:v>Сахалинская область</c:v>
                </c:pt>
                <c:pt idx="9">
                  <c:v>Еврейская автономная область</c:v>
                </c:pt>
                <c:pt idx="10">
                  <c:v>Чукотский автономный округ</c:v>
                </c:pt>
              </c:strCache>
            </c:strRef>
          </c:cat>
          <c:val>
            <c:numRef>
              <c:f>('1.6 ЧС техноген ФО'!$D$6,'1.6 ЧС техноген ФО'!$D$7,'1.6 ЧС техноген ФО'!$D$8,'1.6 ЧС техноген ФО'!$D$9,'1.6 ЧС техноген ФО'!$D$10,'1.6 ЧС техноген ФО'!$D$11,'1.6 ЧС техноген ФО'!$D$12,'1.6 ЧС техноген ФО'!$D$13,'1.6 ЧС техноген ФО'!$D$14,'1.6 ЧС техноген ФО'!$D$15,'1.6 ЧС техноген ФО'!$D$16)</c:f>
              <c:numCache>
                <c:formatCode>General</c:formatCode>
                <c:ptCount val="1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9C23-45F6-B3BF-57C27DE2111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10641280"/>
        <c:axId val="610640104"/>
      </c:barChart>
      <c:catAx>
        <c:axId val="61064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0104"/>
        <c:crosses val="autoZero"/>
        <c:auto val="0"/>
        <c:lblAlgn val="ctr"/>
        <c:lblOffset val="100"/>
        <c:noMultiLvlLbl val="0"/>
      </c:catAx>
      <c:valAx>
        <c:axId val="6106401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('1.6 ЧС техноген ФО'!$B$18,'1.6 ЧС техноген ФО'!$B$19,'1.6 ЧС техноген ФО'!$B$20,'1.6 ЧС техноген ФО'!$B$21,'1.6 ЧС техноген ФО'!$B$22,'1.6 ЧС техноген ФО'!$B$23,'1.6 ЧС техноген ФО'!$B$24,'1.6 ЧС техноген ФО'!$B$25,'1.6 ЧС техноген ФО'!$B$26,'1.6 ЧС техноген ФО'!$B$27)</c:f>
              <c:strCache>
                <c:ptCount val="10"/>
                <c:pt idx="0">
                  <c:v>Республика Алтай</c:v>
                </c:pt>
                <c:pt idx="1">
                  <c:v>Республика Тыва</c:v>
                </c:pt>
                <c:pt idx="2">
                  <c:v>Республика Хакасия</c:v>
                </c:pt>
                <c:pt idx="3">
                  <c:v>Алтайский край</c:v>
                </c:pt>
                <c:pt idx="4">
                  <c:v>Красноярский край</c:v>
                </c:pt>
                <c:pt idx="5">
                  <c:v>Иркутская область</c:v>
                </c:pt>
                <c:pt idx="6">
                  <c:v>Кемеровская область – Кузбасс</c:v>
                </c:pt>
                <c:pt idx="7">
                  <c:v>Новосибирская область</c:v>
                </c:pt>
                <c:pt idx="8">
                  <c:v>Омская область</c:v>
                </c:pt>
                <c:pt idx="9">
                  <c:v>Томская область</c:v>
                </c:pt>
              </c:strCache>
            </c:strRef>
          </c:cat>
          <c:val>
            <c:numRef>
              <c:f>('1.6 ЧС техноген ФО'!$C$18,'1.6 ЧС техноген ФО'!$C$19,'1.6 ЧС техноген ФО'!$C$20,'1.6 ЧС техноген ФО'!$C$21,'1.6 ЧС техноген ФО'!$C$22,'1.6 ЧС техноген ФО'!$C$23,'1.6 ЧС техноген ФО'!$C$24,'1.6 ЧС техноген ФО'!$C$25,'1.6 ЧС техноген ФО'!$C$26,'1.6 ЧС техноген ФО'!$C$27)</c:f>
              <c:numCache>
                <c:formatCode>General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1</c:v>
                </c:pt>
                <c:pt idx="3">
                  <c:v>1</c:v>
                </c:pt>
                <c:pt idx="4">
                  <c:v>5</c:v>
                </c:pt>
                <c:pt idx="5">
                  <c:v>3</c:v>
                </c:pt>
                <c:pt idx="6">
                  <c:v>3</c:v>
                </c:pt>
                <c:pt idx="7">
                  <c:v>3</c:v>
                </c:pt>
                <c:pt idx="8">
                  <c:v>3</c:v>
                </c:pt>
                <c:pt idx="9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DBD-4F3A-A61F-17EC029A4B82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bg2">
                <a:lumMod val="2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('1.6 ЧС техноген ФО'!$B$18,'1.6 ЧС техноген ФО'!$B$19,'1.6 ЧС техноген ФО'!$B$20,'1.6 ЧС техноген ФО'!$B$21,'1.6 ЧС техноген ФО'!$B$22,'1.6 ЧС техноген ФО'!$B$23,'1.6 ЧС техноген ФО'!$B$24,'1.6 ЧС техноген ФО'!$B$25,'1.6 ЧС техноген ФО'!$B$26,'1.6 ЧС техноген ФО'!$B$27)</c:f>
              <c:strCache>
                <c:ptCount val="10"/>
                <c:pt idx="0">
                  <c:v>Республика Алтай</c:v>
                </c:pt>
                <c:pt idx="1">
                  <c:v>Республика Тыва</c:v>
                </c:pt>
                <c:pt idx="2">
                  <c:v>Республика Хакасия</c:v>
                </c:pt>
                <c:pt idx="3">
                  <c:v>Алтайский край</c:v>
                </c:pt>
                <c:pt idx="4">
                  <c:v>Красноярский край</c:v>
                </c:pt>
                <c:pt idx="5">
                  <c:v>Иркутская область</c:v>
                </c:pt>
                <c:pt idx="6">
                  <c:v>Кемеровская область – Кузбасс</c:v>
                </c:pt>
                <c:pt idx="7">
                  <c:v>Новосибирская область</c:v>
                </c:pt>
                <c:pt idx="8">
                  <c:v>Омская область</c:v>
                </c:pt>
                <c:pt idx="9">
                  <c:v>Томская область</c:v>
                </c:pt>
              </c:strCache>
            </c:strRef>
          </c:cat>
          <c:val>
            <c:numRef>
              <c:f>('1.6 ЧС техноген ФО'!$D$18,'1.6 ЧС техноген ФО'!$D$19,'1.6 ЧС техноген ФО'!$D$20,'1.6 ЧС техноген ФО'!$D$21,'1.6 ЧС техноген ФО'!$D$22,'1.6 ЧС техноген ФО'!$D$23,'1.6 ЧС техноген ФО'!$D$24,'1.6 ЧС техноген ФО'!$D$25,'1.6 ЧС техноген ФО'!$D$26,'1.6 ЧС техноген ФО'!$D$27)</c:f>
              <c:numCache>
                <c:formatCode>General</c:formatCode>
                <c:ptCount val="10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DBD-4F3A-A61F-17EC029A4B8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38536"/>
        <c:axId val="610640496"/>
      </c:barChart>
      <c:catAx>
        <c:axId val="6106385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0496"/>
        <c:crosses val="autoZero"/>
        <c:auto val="1"/>
        <c:lblAlgn val="ctr"/>
        <c:lblOffset val="100"/>
        <c:noMultiLvlLbl val="0"/>
      </c:catAx>
      <c:valAx>
        <c:axId val="6106404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853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ФО'!$B$29:$B$34</c:f>
              <c:strCache>
                <c:ptCount val="6"/>
                <c:pt idx="0">
                  <c:v>Курганская область</c:v>
                </c:pt>
                <c:pt idx="1">
                  <c:v>Свердловская область</c:v>
                </c:pt>
                <c:pt idx="2">
                  <c:v>Тюменская область</c:v>
                </c:pt>
                <c:pt idx="3">
                  <c:v>Челябинская область</c:v>
                </c:pt>
                <c:pt idx="4">
                  <c:v>Ханты-Мансийский автономный округ – Югра</c:v>
                </c:pt>
                <c:pt idx="5">
                  <c:v>Ямало-Ненецкий автономный округ</c:v>
                </c:pt>
              </c:strCache>
            </c:strRef>
          </c:cat>
          <c:val>
            <c:numRef>
              <c:f>'1.6 ЧС техноген ФО'!$C$29:$C$34</c:f>
              <c:numCache>
                <c:formatCode>General</c:formatCode>
                <c:ptCount val="6"/>
                <c:pt idx="0">
                  <c:v>1</c:v>
                </c:pt>
                <c:pt idx="1">
                  <c:v>2</c:v>
                </c:pt>
                <c:pt idx="2">
                  <c:v>0</c:v>
                </c:pt>
                <c:pt idx="3">
                  <c:v>0</c:v>
                </c:pt>
                <c:pt idx="4">
                  <c:v>2</c:v>
                </c:pt>
                <c:pt idx="5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BA96-47A9-931E-68B1339C927B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ФО'!$B$29:$B$34</c:f>
              <c:strCache>
                <c:ptCount val="6"/>
                <c:pt idx="0">
                  <c:v>Курганская область</c:v>
                </c:pt>
                <c:pt idx="1">
                  <c:v>Свердловская область</c:v>
                </c:pt>
                <c:pt idx="2">
                  <c:v>Тюменская область</c:v>
                </c:pt>
                <c:pt idx="3">
                  <c:v>Челябинская область</c:v>
                </c:pt>
                <c:pt idx="4">
                  <c:v>Ханты-Мансийский автономный округ – Югра</c:v>
                </c:pt>
                <c:pt idx="5">
                  <c:v>Ямало-Ненецкий автономный округ</c:v>
                </c:pt>
              </c:strCache>
            </c:strRef>
          </c:cat>
          <c:val>
            <c:numRef>
              <c:f>'1.6 ЧС техноген ФО'!$D$29:$D$34</c:f>
              <c:numCache>
                <c:formatCode>General</c:formatCode>
                <c:ptCount val="6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BA96-47A9-931E-68B1339C927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35008"/>
        <c:axId val="610646376"/>
      </c:barChart>
      <c:catAx>
        <c:axId val="6106350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6376"/>
        <c:crosses val="autoZero"/>
        <c:auto val="1"/>
        <c:lblAlgn val="ctr"/>
        <c:lblOffset val="100"/>
        <c:noMultiLvlLbl val="0"/>
      </c:catAx>
      <c:valAx>
        <c:axId val="6106463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50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ФО'!$B$36:$B$49</c:f>
              <c:strCache>
                <c:ptCount val="14"/>
                <c:pt idx="0">
                  <c:v>Республика Башкортостан</c:v>
                </c:pt>
                <c:pt idx="1">
                  <c:v>Республика Марий Эл</c:v>
                </c:pt>
                <c:pt idx="2">
                  <c:v>Республика Мордовия</c:v>
                </c:pt>
                <c:pt idx="3">
                  <c:v>Республика Татарстан</c:v>
                </c:pt>
                <c:pt idx="4">
                  <c:v>Удмуртская Республика</c:v>
                </c:pt>
                <c:pt idx="5">
                  <c:v>Чувашская Республика – Чувашия </c:v>
                </c:pt>
                <c:pt idx="6">
                  <c:v>Пермский край</c:v>
                </c:pt>
                <c:pt idx="7">
                  <c:v>Кировская область</c:v>
                </c:pt>
                <c:pt idx="8">
                  <c:v>Нижегородская область</c:v>
                </c:pt>
                <c:pt idx="9">
                  <c:v>Оренбургская область</c:v>
                </c:pt>
                <c:pt idx="10">
                  <c:v>Пензенская область</c:v>
                </c:pt>
                <c:pt idx="11">
                  <c:v>Самарская область</c:v>
                </c:pt>
                <c:pt idx="12">
                  <c:v>Саратовская область</c:v>
                </c:pt>
                <c:pt idx="13">
                  <c:v>Ульяновская область</c:v>
                </c:pt>
              </c:strCache>
            </c:strRef>
          </c:cat>
          <c:val>
            <c:numRef>
              <c:f>'1.6 ЧС техноген ФО'!$C$36:$C$49</c:f>
              <c:numCache>
                <c:formatCode>General</c:formatCode>
                <c:ptCount val="14"/>
                <c:pt idx="0">
                  <c:v>3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2</c:v>
                </c:pt>
                <c:pt idx="5">
                  <c:v>1</c:v>
                </c:pt>
                <c:pt idx="6">
                  <c:v>1</c:v>
                </c:pt>
                <c:pt idx="7">
                  <c:v>0</c:v>
                </c:pt>
                <c:pt idx="8">
                  <c:v>5</c:v>
                </c:pt>
                <c:pt idx="9">
                  <c:v>1</c:v>
                </c:pt>
                <c:pt idx="10">
                  <c:v>2</c:v>
                </c:pt>
                <c:pt idx="11">
                  <c:v>4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292-454B-86B9-9BCDE24DBCAA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bg2">
                <a:lumMod val="2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ФО'!$B$36:$B$49</c:f>
              <c:strCache>
                <c:ptCount val="14"/>
                <c:pt idx="0">
                  <c:v>Республика Башкортостан</c:v>
                </c:pt>
                <c:pt idx="1">
                  <c:v>Республика Марий Эл</c:v>
                </c:pt>
                <c:pt idx="2">
                  <c:v>Республика Мордовия</c:v>
                </c:pt>
                <c:pt idx="3">
                  <c:v>Республика Татарстан</c:v>
                </c:pt>
                <c:pt idx="4">
                  <c:v>Удмуртская Республика</c:v>
                </c:pt>
                <c:pt idx="5">
                  <c:v>Чувашская Республика – Чувашия </c:v>
                </c:pt>
                <c:pt idx="6">
                  <c:v>Пермский край</c:v>
                </c:pt>
                <c:pt idx="7">
                  <c:v>Кировская область</c:v>
                </c:pt>
                <c:pt idx="8">
                  <c:v>Нижегородская область</c:v>
                </c:pt>
                <c:pt idx="9">
                  <c:v>Оренбургская область</c:v>
                </c:pt>
                <c:pt idx="10">
                  <c:v>Пензенская область</c:v>
                </c:pt>
                <c:pt idx="11">
                  <c:v>Самарская область</c:v>
                </c:pt>
                <c:pt idx="12">
                  <c:v>Саратовская область</c:v>
                </c:pt>
                <c:pt idx="13">
                  <c:v>Ульяновская область</c:v>
                </c:pt>
              </c:strCache>
            </c:strRef>
          </c:cat>
          <c:val>
            <c:numRef>
              <c:f>'1.6 ЧС техноген ФО'!$D$36:$D$49</c:f>
              <c:numCache>
                <c:formatCode>General</c:formatCode>
                <c:ptCount val="1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2292-454B-86B9-9BCDE24DBCA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46768"/>
        <c:axId val="610634616"/>
      </c:barChart>
      <c:catAx>
        <c:axId val="6106467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4616"/>
        <c:crosses val="autoZero"/>
        <c:auto val="1"/>
        <c:lblAlgn val="ctr"/>
        <c:lblOffset val="100"/>
        <c:noMultiLvlLbl val="0"/>
      </c:catAx>
      <c:valAx>
        <c:axId val="6106346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67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ФО'!$B$51:$B$58</c:f>
              <c:strCache>
                <c:ptCount val="8"/>
                <c:pt idx="0">
                  <c:v>Республика Адыгея</c:v>
                </c:pt>
                <c:pt idx="1">
                  <c:v>Республика Калмыкия</c:v>
                </c:pt>
                <c:pt idx="2">
                  <c:v>Республика Крым</c:v>
                </c:pt>
                <c:pt idx="3">
                  <c:v>Краснодарский край</c:v>
                </c:pt>
                <c:pt idx="4">
                  <c:v>Астраханская область</c:v>
                </c:pt>
                <c:pt idx="5">
                  <c:v>Волгоградская область</c:v>
                </c:pt>
                <c:pt idx="6">
                  <c:v>Ростовская область</c:v>
                </c:pt>
                <c:pt idx="7">
                  <c:v>г. Севастополь</c:v>
                </c:pt>
              </c:strCache>
            </c:strRef>
          </c:cat>
          <c:val>
            <c:numRef>
              <c:f>'1.6 ЧС техноген ФО'!$C$51:$C$58</c:f>
              <c:numCache>
                <c:formatCode>General</c:formatCode>
                <c:ptCount val="8"/>
                <c:pt idx="0">
                  <c:v>1</c:v>
                </c:pt>
                <c:pt idx="1">
                  <c:v>2</c:v>
                </c:pt>
                <c:pt idx="2">
                  <c:v>7</c:v>
                </c:pt>
                <c:pt idx="3">
                  <c:v>10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20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EF90-4738-A3E6-D515830B69F7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ФО'!$B$51:$B$58</c:f>
              <c:strCache>
                <c:ptCount val="8"/>
                <c:pt idx="0">
                  <c:v>Республика Адыгея</c:v>
                </c:pt>
                <c:pt idx="1">
                  <c:v>Республика Калмыкия</c:v>
                </c:pt>
                <c:pt idx="2">
                  <c:v>Республика Крым</c:v>
                </c:pt>
                <c:pt idx="3">
                  <c:v>Краснодарский край</c:v>
                </c:pt>
                <c:pt idx="4">
                  <c:v>Астраханская область</c:v>
                </c:pt>
                <c:pt idx="5">
                  <c:v>Волгоградская область</c:v>
                </c:pt>
                <c:pt idx="6">
                  <c:v>Ростовская область</c:v>
                </c:pt>
                <c:pt idx="7">
                  <c:v>г. Севастополь</c:v>
                </c:pt>
              </c:strCache>
            </c:strRef>
          </c:cat>
          <c:val>
            <c:numRef>
              <c:f>'1.6 ЧС техноген ФО'!$D$51:$D$58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EF90-4738-A3E6-D515830B69F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35792"/>
        <c:axId val="610637360"/>
      </c:barChart>
      <c:catAx>
        <c:axId val="6106357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7360"/>
        <c:crosses val="autoZero"/>
        <c:auto val="1"/>
        <c:lblAlgn val="ctr"/>
        <c:lblOffset val="100"/>
        <c:noMultiLvlLbl val="0"/>
      </c:catAx>
      <c:valAx>
        <c:axId val="6106373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57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ФО'!$B$60:$B$66</c:f>
              <c:strCache>
                <c:ptCount val="7"/>
                <c:pt idx="0">
                  <c:v>Республика Дагестан</c:v>
                </c:pt>
                <c:pt idx="1">
                  <c:v>Республика Ингушетия</c:v>
                </c:pt>
                <c:pt idx="2">
                  <c:v>Кабардино-Балкарская Республика</c:v>
                </c:pt>
                <c:pt idx="3">
                  <c:v>Карачаево-Черкесская Республика</c:v>
                </c:pt>
                <c:pt idx="4">
                  <c:v>Республика Северная Осетия (Алания)</c:v>
                </c:pt>
                <c:pt idx="5">
                  <c:v>Чеченская Республика</c:v>
                </c:pt>
                <c:pt idx="6">
                  <c:v>Ставропольский край</c:v>
                </c:pt>
              </c:strCache>
            </c:strRef>
          </c:cat>
          <c:val>
            <c:numRef>
              <c:f>'1.6 ЧС техноген ФО'!$C$60:$C$66</c:f>
              <c:numCache>
                <c:formatCode>General</c:formatCode>
                <c:ptCount val="7"/>
                <c:pt idx="0">
                  <c:v>3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2</c:v>
                </c:pt>
                <c:pt idx="5">
                  <c:v>0</c:v>
                </c:pt>
                <c:pt idx="6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4ED-410A-B0C2-2D58FD255809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ФО'!$B$60:$B$66</c:f>
              <c:strCache>
                <c:ptCount val="7"/>
                <c:pt idx="0">
                  <c:v>Республика Дагестан</c:v>
                </c:pt>
                <c:pt idx="1">
                  <c:v>Республика Ингушетия</c:v>
                </c:pt>
                <c:pt idx="2">
                  <c:v>Кабардино-Балкарская Республика</c:v>
                </c:pt>
                <c:pt idx="3">
                  <c:v>Карачаево-Черкесская Республика</c:v>
                </c:pt>
                <c:pt idx="4">
                  <c:v>Республика Северная Осетия (Алания)</c:v>
                </c:pt>
                <c:pt idx="5">
                  <c:v>Чеченская Республика</c:v>
                </c:pt>
                <c:pt idx="6">
                  <c:v>Ставропольский край</c:v>
                </c:pt>
              </c:strCache>
            </c:strRef>
          </c:cat>
          <c:val>
            <c:numRef>
              <c:f>'1.6 ЧС техноген ФО'!$D$60:$D$66</c:f>
              <c:numCache>
                <c:formatCode>General</c:formatCode>
                <c:ptCount val="7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4ED-410A-B0C2-2D58FD25580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37752"/>
        <c:axId val="610638928"/>
      </c:barChart>
      <c:catAx>
        <c:axId val="6106377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8928"/>
        <c:crosses val="autoZero"/>
        <c:auto val="1"/>
        <c:lblAlgn val="ctr"/>
        <c:lblOffset val="100"/>
        <c:noMultiLvlLbl val="0"/>
      </c:catAx>
      <c:valAx>
        <c:axId val="6106389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7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ФО'!$B$68:$B$78</c:f>
              <c:strCache>
                <c:ptCount val="11"/>
                <c:pt idx="0">
                  <c:v>Республика Карелия</c:v>
                </c:pt>
                <c:pt idx="1">
                  <c:v>Республика Коми</c:v>
                </c:pt>
                <c:pt idx="2">
                  <c:v>Архангельская область</c:v>
                </c:pt>
                <c:pt idx="3">
                  <c:v>Вологодская область</c:v>
                </c:pt>
                <c:pt idx="4">
                  <c:v>Калининградская область</c:v>
                </c:pt>
                <c:pt idx="5">
                  <c:v>Ленинградская область</c:v>
                </c:pt>
                <c:pt idx="6">
                  <c:v>Мурманская область</c:v>
                </c:pt>
                <c:pt idx="7">
                  <c:v>Новгородская область</c:v>
                </c:pt>
                <c:pt idx="8">
                  <c:v>Псковская область</c:v>
                </c:pt>
                <c:pt idx="9">
                  <c:v>Ненецкий автономный округ</c:v>
                </c:pt>
                <c:pt idx="10">
                  <c:v>г. Санкт-Петербург</c:v>
                </c:pt>
              </c:strCache>
            </c:strRef>
          </c:cat>
          <c:val>
            <c:numRef>
              <c:f>'1.6 ЧС техноген ФО'!$C$68:$C$78</c:f>
              <c:numCache>
                <c:formatCode>General</c:formatCode>
                <c:ptCount val="11"/>
                <c:pt idx="0">
                  <c:v>0</c:v>
                </c:pt>
                <c:pt idx="1">
                  <c:v>2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6</c:v>
                </c:pt>
                <c:pt idx="6">
                  <c:v>2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F65-44B5-93AF-559A48E97348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ФО'!$B$68:$B$78</c:f>
              <c:strCache>
                <c:ptCount val="11"/>
                <c:pt idx="0">
                  <c:v>Республика Карелия</c:v>
                </c:pt>
                <c:pt idx="1">
                  <c:v>Республика Коми</c:v>
                </c:pt>
                <c:pt idx="2">
                  <c:v>Архангельская область</c:v>
                </c:pt>
                <c:pt idx="3">
                  <c:v>Вологодская область</c:v>
                </c:pt>
                <c:pt idx="4">
                  <c:v>Калининградская область</c:v>
                </c:pt>
                <c:pt idx="5">
                  <c:v>Ленинградская область</c:v>
                </c:pt>
                <c:pt idx="6">
                  <c:v>Мурманская область</c:v>
                </c:pt>
                <c:pt idx="7">
                  <c:v>Новгородская область</c:v>
                </c:pt>
                <c:pt idx="8">
                  <c:v>Псковская область</c:v>
                </c:pt>
                <c:pt idx="9">
                  <c:v>Ненецкий автономный округ</c:v>
                </c:pt>
                <c:pt idx="10">
                  <c:v>г. Санкт-Петербург</c:v>
                </c:pt>
              </c:strCache>
            </c:strRef>
          </c:cat>
          <c:val>
            <c:numRef>
              <c:f>'1.6 ЧС техноген ФО'!$D$68:$D$78</c:f>
              <c:numCache>
                <c:formatCode>General</c:formatCode>
                <c:ptCount val="1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4F65-44B5-93AF-559A48E9734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41672"/>
        <c:axId val="610642456"/>
      </c:barChart>
      <c:catAx>
        <c:axId val="6106416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2456"/>
        <c:crosses val="autoZero"/>
        <c:auto val="1"/>
        <c:lblAlgn val="ctr"/>
        <c:lblOffset val="100"/>
        <c:noMultiLvlLbl val="0"/>
      </c:catAx>
      <c:valAx>
        <c:axId val="6106424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16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631364261285522"/>
          <c:y val="5.1342592592592592E-2"/>
          <c:w val="0.82428827646544178"/>
          <c:h val="0.46707786526684164"/>
        </c:manualLayout>
      </c:layout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ФО'!$B$80:$B$97</c:f>
              <c:strCache>
                <c:ptCount val="18"/>
                <c:pt idx="0">
                  <c:v>Белгородская область</c:v>
                </c:pt>
                <c:pt idx="1">
                  <c:v>Брянская область</c:v>
                </c:pt>
                <c:pt idx="2">
                  <c:v>Владимирская область</c:v>
                </c:pt>
                <c:pt idx="3">
                  <c:v>Воронежская область</c:v>
                </c:pt>
                <c:pt idx="4">
                  <c:v>Ивановская область</c:v>
                </c:pt>
                <c:pt idx="5">
                  <c:v>Калужская область</c:v>
                </c:pt>
                <c:pt idx="6">
                  <c:v>Костромская область</c:v>
                </c:pt>
                <c:pt idx="7">
                  <c:v>Курская область</c:v>
                </c:pt>
                <c:pt idx="8">
                  <c:v>Липецкая область</c:v>
                </c:pt>
                <c:pt idx="9">
                  <c:v>Московская область</c:v>
                </c:pt>
                <c:pt idx="10">
                  <c:v>Орловская область</c:v>
                </c:pt>
                <c:pt idx="11">
                  <c:v>Рязанская область</c:v>
                </c:pt>
                <c:pt idx="12">
                  <c:v>Смоленская область</c:v>
                </c:pt>
                <c:pt idx="13">
                  <c:v>Тамбовская область</c:v>
                </c:pt>
                <c:pt idx="14">
                  <c:v>Тверская область</c:v>
                </c:pt>
                <c:pt idx="15">
                  <c:v>Тульская область</c:v>
                </c:pt>
                <c:pt idx="16">
                  <c:v>Ярославская область</c:v>
                </c:pt>
                <c:pt idx="17">
                  <c:v>г. Москва</c:v>
                </c:pt>
              </c:strCache>
            </c:strRef>
          </c:cat>
          <c:val>
            <c:numRef>
              <c:f>'1.6 ЧС техноген ФО'!$C$80:$C$97</c:f>
              <c:numCache>
                <c:formatCode>General</c:formatCode>
                <c:ptCount val="18"/>
                <c:pt idx="0">
                  <c:v>0</c:v>
                </c:pt>
                <c:pt idx="1">
                  <c:v>9</c:v>
                </c:pt>
                <c:pt idx="2">
                  <c:v>1</c:v>
                </c:pt>
                <c:pt idx="3">
                  <c:v>3</c:v>
                </c:pt>
                <c:pt idx="4">
                  <c:v>0</c:v>
                </c:pt>
                <c:pt idx="5">
                  <c:v>0</c:v>
                </c:pt>
                <c:pt idx="6">
                  <c:v>1</c:v>
                </c:pt>
                <c:pt idx="7">
                  <c:v>5</c:v>
                </c:pt>
                <c:pt idx="8">
                  <c:v>1</c:v>
                </c:pt>
                <c:pt idx="9">
                  <c:v>8</c:v>
                </c:pt>
                <c:pt idx="10">
                  <c:v>0</c:v>
                </c:pt>
                <c:pt idx="11">
                  <c:v>1</c:v>
                </c:pt>
                <c:pt idx="12">
                  <c:v>0</c:v>
                </c:pt>
                <c:pt idx="13">
                  <c:v>1</c:v>
                </c:pt>
                <c:pt idx="14">
                  <c:v>1</c:v>
                </c:pt>
                <c:pt idx="15">
                  <c:v>2</c:v>
                </c:pt>
                <c:pt idx="16">
                  <c:v>1</c:v>
                </c:pt>
                <c:pt idx="17">
                  <c:v>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ED4-4339-88DC-79C1A9D50F88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bg2">
                <a:lumMod val="2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'1.6 ЧС техноген ФО'!$B$80:$B$97</c:f>
              <c:strCache>
                <c:ptCount val="18"/>
                <c:pt idx="0">
                  <c:v>Белгородская область</c:v>
                </c:pt>
                <c:pt idx="1">
                  <c:v>Брянская область</c:v>
                </c:pt>
                <c:pt idx="2">
                  <c:v>Владимирская область</c:v>
                </c:pt>
                <c:pt idx="3">
                  <c:v>Воронежская область</c:v>
                </c:pt>
                <c:pt idx="4">
                  <c:v>Ивановская область</c:v>
                </c:pt>
                <c:pt idx="5">
                  <c:v>Калужская область</c:v>
                </c:pt>
                <c:pt idx="6">
                  <c:v>Костромская область</c:v>
                </c:pt>
                <c:pt idx="7">
                  <c:v>Курская область</c:v>
                </c:pt>
                <c:pt idx="8">
                  <c:v>Липецкая область</c:v>
                </c:pt>
                <c:pt idx="9">
                  <c:v>Московская область</c:v>
                </c:pt>
                <c:pt idx="10">
                  <c:v>Орловская область</c:v>
                </c:pt>
                <c:pt idx="11">
                  <c:v>Рязанская область</c:v>
                </c:pt>
                <c:pt idx="12">
                  <c:v>Смоленская область</c:v>
                </c:pt>
                <c:pt idx="13">
                  <c:v>Тамбовская область</c:v>
                </c:pt>
                <c:pt idx="14">
                  <c:v>Тверская область</c:v>
                </c:pt>
                <c:pt idx="15">
                  <c:v>Тульская область</c:v>
                </c:pt>
                <c:pt idx="16">
                  <c:v>Ярославская область</c:v>
                </c:pt>
                <c:pt idx="17">
                  <c:v>г. Москва</c:v>
                </c:pt>
              </c:strCache>
            </c:strRef>
          </c:cat>
          <c:val>
            <c:numRef>
              <c:f>'1.6 ЧС техноген ФО'!$D$80:$D$97</c:f>
              <c:numCache>
                <c:formatCode>General</c:formatCode>
                <c:ptCount val="1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ED4-4339-88DC-79C1A9D50F8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43240"/>
        <c:axId val="610643632"/>
      </c:barChart>
      <c:catAx>
        <c:axId val="610643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3632"/>
        <c:crosses val="autoZero"/>
        <c:auto val="1"/>
        <c:lblAlgn val="ctr"/>
        <c:lblOffset val="100"/>
        <c:noMultiLvlLbl val="0"/>
      </c:catAx>
      <c:valAx>
        <c:axId val="6106436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32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cat>
            <c:strRef>
              <c:f>('1.8 ЧС природ ФО'!$A$4,'1.8 ЧС природ ФО'!$A$16,'1.8 ЧС природ ФО'!$A$27,'1.8 ЧС природ ФО'!$A$34,'1.8 ЧС природ ФО'!$A$49,'1.8 ЧС природ ФО'!$A$58,'1.8 ЧС природ ФО'!$A$66,'1.8 ЧС природ ФО'!$A$78)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('1.8 ЧС природ ФО'!$B$4,'1.8 ЧС природ ФО'!$B$16,'1.8 ЧС природ ФО'!$B$27,'1.8 ЧС природ ФО'!$B$34,'1.8 ЧС природ ФО'!$B$49,'1.8 ЧС природ ФО'!$B$58,'1.8 ЧС природ ФО'!$B$66,'1.8 ЧС природ ФО'!$B$78)</c:f>
              <c:numCache>
                <c:formatCode>General</c:formatCode>
                <c:ptCount val="8"/>
                <c:pt idx="0">
                  <c:v>14</c:v>
                </c:pt>
                <c:pt idx="1">
                  <c:v>6</c:v>
                </c:pt>
                <c:pt idx="2">
                  <c:v>4</c:v>
                </c:pt>
                <c:pt idx="3">
                  <c:v>13</c:v>
                </c:pt>
                <c:pt idx="4">
                  <c:v>14</c:v>
                </c:pt>
                <c:pt idx="5">
                  <c:v>9</c:v>
                </c:pt>
                <c:pt idx="6">
                  <c:v>0</c:v>
                </c:pt>
                <c:pt idx="7">
                  <c:v>21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5DF0-4514-BC7A-A715A1354741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cat>
            <c:strRef>
              <c:f>('1.8 ЧС природ ФО'!$A$4,'1.8 ЧС природ ФО'!$A$16,'1.8 ЧС природ ФО'!$A$27,'1.8 ЧС природ ФО'!$A$34,'1.8 ЧС природ ФО'!$A$49,'1.8 ЧС природ ФО'!$A$58,'1.8 ЧС природ ФО'!$A$66,'1.8 ЧС природ ФО'!$A$78)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('1.8 ЧС природ ФО'!$C$4,'1.8 ЧС природ ФО'!$C$16,'1.8 ЧС природ ФО'!$C$27,'1.8 ЧС природ ФО'!$C$34,'1.8 ЧС природ ФО'!$C$49,'1.8 ЧС природ ФО'!$C$58,'1.8 ЧС природ ФО'!$C$66,'1.8 ЧС природ ФО'!$C$78)</c:f>
              <c:numCache>
                <c:formatCode>General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5DF0-4514-BC7A-A715A135474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610650688"/>
        <c:axId val="610647160"/>
      </c:barChart>
      <c:catAx>
        <c:axId val="61065068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7160"/>
        <c:crosses val="autoZero"/>
        <c:auto val="1"/>
        <c:lblAlgn val="ctr"/>
        <c:lblOffset val="100"/>
        <c:noMultiLvlLbl val="0"/>
      </c:catAx>
      <c:valAx>
        <c:axId val="61064716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068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ФО'!$A$5:$A$15</c:f>
              <c:strCache>
                <c:ptCount val="11"/>
                <c:pt idx="0">
                  <c:v>Республика Бурятия</c:v>
                </c:pt>
                <c:pt idx="1">
                  <c:v>Республика Саха (Якутия)</c:v>
                </c:pt>
                <c:pt idx="2">
                  <c:v>Забайкальский край</c:v>
                </c:pt>
                <c:pt idx="3">
                  <c:v>Камчатский край</c:v>
                </c:pt>
                <c:pt idx="4">
                  <c:v>Приморский край</c:v>
                </c:pt>
                <c:pt idx="5">
                  <c:v>Хабаровский край</c:v>
                </c:pt>
                <c:pt idx="6">
                  <c:v>Амурская область</c:v>
                </c:pt>
                <c:pt idx="7">
                  <c:v>Магаданская область</c:v>
                </c:pt>
                <c:pt idx="8">
                  <c:v>Сахалинская область</c:v>
                </c:pt>
                <c:pt idx="9">
                  <c:v>Еврейская автономная область</c:v>
                </c:pt>
                <c:pt idx="10">
                  <c:v>Чукотский автономный округ</c:v>
                </c:pt>
              </c:strCache>
            </c:strRef>
          </c:cat>
          <c:val>
            <c:numRef>
              <c:f>'1.8 ЧС природ ФО'!$B$5:$B$15</c:f>
              <c:numCache>
                <c:formatCode>General</c:formatCode>
                <c:ptCount val="11"/>
                <c:pt idx="0">
                  <c:v>4</c:v>
                </c:pt>
                <c:pt idx="1">
                  <c:v>2</c:v>
                </c:pt>
                <c:pt idx="2">
                  <c:v>1</c:v>
                </c:pt>
                <c:pt idx="3">
                  <c:v>1</c:v>
                </c:pt>
                <c:pt idx="4">
                  <c:v>2</c:v>
                </c:pt>
                <c:pt idx="5">
                  <c:v>2</c:v>
                </c:pt>
                <c:pt idx="6">
                  <c:v>2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699-494A-9392-89130238034B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bg2">
                <a:lumMod val="2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ФО'!$A$5:$A$15</c:f>
              <c:strCache>
                <c:ptCount val="11"/>
                <c:pt idx="0">
                  <c:v>Республика Бурятия</c:v>
                </c:pt>
                <c:pt idx="1">
                  <c:v>Республика Саха (Якутия)</c:v>
                </c:pt>
                <c:pt idx="2">
                  <c:v>Забайкальский край</c:v>
                </c:pt>
                <c:pt idx="3">
                  <c:v>Камчатский край</c:v>
                </c:pt>
                <c:pt idx="4">
                  <c:v>Приморский край</c:v>
                </c:pt>
                <c:pt idx="5">
                  <c:v>Хабаровский край</c:v>
                </c:pt>
                <c:pt idx="6">
                  <c:v>Амурская область</c:v>
                </c:pt>
                <c:pt idx="7">
                  <c:v>Магаданская область</c:v>
                </c:pt>
                <c:pt idx="8">
                  <c:v>Сахалинская область</c:v>
                </c:pt>
                <c:pt idx="9">
                  <c:v>Еврейская автономная область</c:v>
                </c:pt>
                <c:pt idx="10">
                  <c:v>Чукотский автономный округ</c:v>
                </c:pt>
              </c:strCache>
            </c:strRef>
          </c:cat>
          <c:val>
            <c:numRef>
              <c:f>'1.8 ЧС природ ФО'!$C$5:$C$15</c:f>
              <c:numCache>
                <c:formatCode>General</c:formatCode>
                <c:ptCount val="1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3699-494A-9392-8913023803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10655392"/>
        <c:axId val="610647552"/>
      </c:barChart>
      <c:catAx>
        <c:axId val="6106553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7552"/>
        <c:crosses val="autoZero"/>
        <c:auto val="1"/>
        <c:lblAlgn val="ctr"/>
        <c:lblOffset val="100"/>
        <c:noMultiLvlLbl val="0"/>
      </c:catAx>
      <c:valAx>
        <c:axId val="6106475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53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ФО'!$A$17:$A$26</c:f>
              <c:strCache>
                <c:ptCount val="10"/>
                <c:pt idx="0">
                  <c:v>Республика Алтай</c:v>
                </c:pt>
                <c:pt idx="1">
                  <c:v>Республика Тыва</c:v>
                </c:pt>
                <c:pt idx="2">
                  <c:v>Республика Хакасия</c:v>
                </c:pt>
                <c:pt idx="3">
                  <c:v>Алтайский край</c:v>
                </c:pt>
                <c:pt idx="4">
                  <c:v>Красноярский край</c:v>
                </c:pt>
                <c:pt idx="5">
                  <c:v>Иркутская область</c:v>
                </c:pt>
                <c:pt idx="6">
                  <c:v>Кемеровская область – Кузбасс</c:v>
                </c:pt>
                <c:pt idx="7">
                  <c:v>Новосибирская область</c:v>
                </c:pt>
                <c:pt idx="8">
                  <c:v>Омская область</c:v>
                </c:pt>
                <c:pt idx="9">
                  <c:v>Томская область</c:v>
                </c:pt>
              </c:strCache>
            </c:strRef>
          </c:cat>
          <c:val>
            <c:numRef>
              <c:f>'1.8 ЧС природ ФО'!$B$17:$B$26</c:f>
              <c:numCache>
                <c:formatCode>General</c:formatCode>
                <c:ptCount val="10"/>
                <c:pt idx="0">
                  <c:v>0</c:v>
                </c:pt>
                <c:pt idx="1">
                  <c:v>4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2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1B6-4B10-A040-930A542C1B30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bg2">
                <a:lumMod val="2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ФО'!$A$17:$A$26</c:f>
              <c:strCache>
                <c:ptCount val="10"/>
                <c:pt idx="0">
                  <c:v>Республика Алтай</c:v>
                </c:pt>
                <c:pt idx="1">
                  <c:v>Республика Тыва</c:v>
                </c:pt>
                <c:pt idx="2">
                  <c:v>Республика Хакасия</c:v>
                </c:pt>
                <c:pt idx="3">
                  <c:v>Алтайский край</c:v>
                </c:pt>
                <c:pt idx="4">
                  <c:v>Красноярский край</c:v>
                </c:pt>
                <c:pt idx="5">
                  <c:v>Иркутская область</c:v>
                </c:pt>
                <c:pt idx="6">
                  <c:v>Кемеровская область – Кузбасс</c:v>
                </c:pt>
                <c:pt idx="7">
                  <c:v>Новосибирская область</c:v>
                </c:pt>
                <c:pt idx="8">
                  <c:v>Омская область</c:v>
                </c:pt>
                <c:pt idx="9">
                  <c:v>Томская область</c:v>
                </c:pt>
              </c:strCache>
            </c:strRef>
          </c:cat>
          <c:val>
            <c:numRef>
              <c:f>'1.8 ЧС природ ФО'!$C$17:$C$26</c:f>
              <c:numCache>
                <c:formatCode>General</c:formatCode>
                <c:ptCount val="10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1B6-4B10-A040-930A542C1B3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610652648"/>
        <c:axId val="610654608"/>
      </c:barChart>
      <c:catAx>
        <c:axId val="61065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4608"/>
        <c:crosses val="autoZero"/>
        <c:auto val="1"/>
        <c:lblAlgn val="ctr"/>
        <c:lblOffset val="100"/>
        <c:noMultiLvlLbl val="0"/>
      </c:catAx>
      <c:valAx>
        <c:axId val="6106546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('1.8 ЧС природ ФО'!$A$28,'1.8 ЧС природ ФО'!$A$29,'1.8 ЧС природ ФО'!$A$30,'1.8 ЧС природ ФО'!$A$31,'1.8 ЧС природ ФО'!$A$32,'1.8 ЧС природ ФО'!$A$33)</c:f>
              <c:strCache>
                <c:ptCount val="6"/>
                <c:pt idx="0">
                  <c:v>Курганская область</c:v>
                </c:pt>
                <c:pt idx="1">
                  <c:v>Свердловская область</c:v>
                </c:pt>
                <c:pt idx="2">
                  <c:v>Тюменская область</c:v>
                </c:pt>
                <c:pt idx="3">
                  <c:v>Челябинская область</c:v>
                </c:pt>
                <c:pt idx="4">
                  <c:v>Ханты-Мансийский автономный округ – Югра</c:v>
                </c:pt>
                <c:pt idx="5">
                  <c:v>Ямало-Ненецкий автономный округ</c:v>
                </c:pt>
              </c:strCache>
            </c:strRef>
          </c:cat>
          <c:val>
            <c:numRef>
              <c:f>('1.8 ЧС природ ФО'!$B$28,'1.8 ЧС природ ФО'!$B$29,'1.8 ЧС природ ФО'!$B$30,'1.8 ЧС природ ФО'!$B$31,'1.8 ЧС природ ФО'!$B$32,'1.8 ЧС природ ФО'!$B$33)</c:f>
              <c:numCache>
                <c:formatCode>General</c:formatCode>
                <c:ptCount val="6"/>
                <c:pt idx="0">
                  <c:v>1</c:v>
                </c:pt>
                <c:pt idx="1">
                  <c:v>1</c:v>
                </c:pt>
                <c:pt idx="2">
                  <c:v>0</c:v>
                </c:pt>
                <c:pt idx="3">
                  <c:v>0</c:v>
                </c:pt>
                <c:pt idx="4">
                  <c:v>2</c:v>
                </c:pt>
                <c:pt idx="5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249-44D7-8062-204454A95FC9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('1.8 ЧС природ ФО'!$A$28,'1.8 ЧС природ ФО'!$A$29,'1.8 ЧС природ ФО'!$A$30,'1.8 ЧС природ ФО'!$A$31,'1.8 ЧС природ ФО'!$A$32,'1.8 ЧС природ ФО'!$A$33)</c:f>
              <c:strCache>
                <c:ptCount val="6"/>
                <c:pt idx="0">
                  <c:v>Курганская область</c:v>
                </c:pt>
                <c:pt idx="1">
                  <c:v>Свердловская область</c:v>
                </c:pt>
                <c:pt idx="2">
                  <c:v>Тюменская область</c:v>
                </c:pt>
                <c:pt idx="3">
                  <c:v>Челябинская область</c:v>
                </c:pt>
                <c:pt idx="4">
                  <c:v>Ханты-Мансийский автономный округ – Югра</c:v>
                </c:pt>
                <c:pt idx="5">
                  <c:v>Ямало-Ненецкий автономный округ</c:v>
                </c:pt>
              </c:strCache>
            </c:strRef>
          </c:cat>
          <c:val>
            <c:numRef>
              <c:f>('1.8 ЧС природ ФО'!$C$28,'1.8 ЧС природ ФО'!$C$29,'1.8 ЧС природ ФО'!$C$30,'1.8 ЧС природ ФО'!$C$31,'1.8 ЧС природ ФО'!$C$32,'1.8 ЧС природ ФО'!$C$33)</c:f>
              <c:numCache>
                <c:formatCode>General</c:formatCode>
                <c:ptCount val="6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8249-44D7-8062-204454A95FC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53040"/>
        <c:axId val="610648336"/>
      </c:barChart>
      <c:catAx>
        <c:axId val="6106530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8336"/>
        <c:crosses val="autoZero"/>
        <c:auto val="1"/>
        <c:lblAlgn val="ctr"/>
        <c:lblOffset val="100"/>
        <c:noMultiLvlLbl val="0"/>
      </c:catAx>
      <c:valAx>
        <c:axId val="6106483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30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8913560804899388"/>
          <c:y val="7.8703703703703706E-2"/>
          <c:w val="0.72906692913385818"/>
          <c:h val="0.42179717118693499"/>
        </c:manualLayout>
      </c:layout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ФО'!$A$35:$A$48</c:f>
              <c:strCache>
                <c:ptCount val="14"/>
                <c:pt idx="0">
                  <c:v>Республика Башкортостан</c:v>
                </c:pt>
                <c:pt idx="1">
                  <c:v>Республика Марий Эл</c:v>
                </c:pt>
                <c:pt idx="2">
                  <c:v>Республика Мордовия</c:v>
                </c:pt>
                <c:pt idx="3">
                  <c:v>Республика Татарстан</c:v>
                </c:pt>
                <c:pt idx="4">
                  <c:v>Удмуртская Республика</c:v>
                </c:pt>
                <c:pt idx="5">
                  <c:v>Чувашская Республика – Чувашия </c:v>
                </c:pt>
                <c:pt idx="6">
                  <c:v>Пермский край</c:v>
                </c:pt>
                <c:pt idx="7">
                  <c:v>Кировская область</c:v>
                </c:pt>
                <c:pt idx="8">
                  <c:v>Нижегородская область</c:v>
                </c:pt>
                <c:pt idx="9">
                  <c:v>Оренбургская область</c:v>
                </c:pt>
                <c:pt idx="10">
                  <c:v>Пензенская область</c:v>
                </c:pt>
                <c:pt idx="11">
                  <c:v>Самарская область</c:v>
                </c:pt>
                <c:pt idx="12">
                  <c:v>Саратовская область</c:v>
                </c:pt>
                <c:pt idx="13">
                  <c:v>Ульяновская область</c:v>
                </c:pt>
              </c:strCache>
            </c:strRef>
          </c:cat>
          <c:val>
            <c:numRef>
              <c:f>'1.8 ЧС природ ФО'!$B$35:$B$48</c:f>
              <c:numCache>
                <c:formatCode>General</c:formatCode>
                <c:ptCount val="14"/>
                <c:pt idx="0">
                  <c:v>2</c:v>
                </c:pt>
                <c:pt idx="1">
                  <c:v>2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2</c:v>
                </c:pt>
                <c:pt idx="6">
                  <c:v>0</c:v>
                </c:pt>
                <c:pt idx="7">
                  <c:v>0</c:v>
                </c:pt>
                <c:pt idx="8">
                  <c:v>2</c:v>
                </c:pt>
                <c:pt idx="9">
                  <c:v>1</c:v>
                </c:pt>
                <c:pt idx="10">
                  <c:v>1</c:v>
                </c:pt>
                <c:pt idx="11">
                  <c:v>3</c:v>
                </c:pt>
                <c:pt idx="12">
                  <c:v>0</c:v>
                </c:pt>
                <c:pt idx="13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54EE-4AA8-8301-AC412E309E78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ФО'!$A$35:$A$48</c:f>
              <c:strCache>
                <c:ptCount val="14"/>
                <c:pt idx="0">
                  <c:v>Республика Башкортостан</c:v>
                </c:pt>
                <c:pt idx="1">
                  <c:v>Республика Марий Эл</c:v>
                </c:pt>
                <c:pt idx="2">
                  <c:v>Республика Мордовия</c:v>
                </c:pt>
                <c:pt idx="3">
                  <c:v>Республика Татарстан</c:v>
                </c:pt>
                <c:pt idx="4">
                  <c:v>Удмуртская Республика</c:v>
                </c:pt>
                <c:pt idx="5">
                  <c:v>Чувашская Республика – Чувашия </c:v>
                </c:pt>
                <c:pt idx="6">
                  <c:v>Пермский край</c:v>
                </c:pt>
                <c:pt idx="7">
                  <c:v>Кировская область</c:v>
                </c:pt>
                <c:pt idx="8">
                  <c:v>Нижегородская область</c:v>
                </c:pt>
                <c:pt idx="9">
                  <c:v>Оренбургская область</c:v>
                </c:pt>
                <c:pt idx="10">
                  <c:v>Пензенская область</c:v>
                </c:pt>
                <c:pt idx="11">
                  <c:v>Самарская область</c:v>
                </c:pt>
                <c:pt idx="12">
                  <c:v>Саратовская область</c:v>
                </c:pt>
                <c:pt idx="13">
                  <c:v>Ульяновская область</c:v>
                </c:pt>
              </c:strCache>
            </c:strRef>
          </c:cat>
          <c:val>
            <c:numRef>
              <c:f>'1.8 ЧС природ ФО'!$C$35:$C$48</c:f>
              <c:numCache>
                <c:formatCode>General</c:formatCode>
                <c:ptCount val="1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54EE-4AA8-8301-AC412E309E7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54216"/>
        <c:axId val="610648728"/>
      </c:barChart>
      <c:catAx>
        <c:axId val="610654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8728"/>
        <c:crosses val="autoZero"/>
        <c:auto val="1"/>
        <c:lblAlgn val="ctr"/>
        <c:lblOffset val="100"/>
        <c:noMultiLvlLbl val="0"/>
      </c:catAx>
      <c:valAx>
        <c:axId val="6106487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4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ФО'!$A$50:$A$57</c:f>
              <c:strCache>
                <c:ptCount val="8"/>
                <c:pt idx="0">
                  <c:v>Республика Адыгея</c:v>
                </c:pt>
                <c:pt idx="1">
                  <c:v>Республика Калмыкия</c:v>
                </c:pt>
                <c:pt idx="2">
                  <c:v>Республика Крым</c:v>
                </c:pt>
                <c:pt idx="3">
                  <c:v>Краснодарский край</c:v>
                </c:pt>
                <c:pt idx="4">
                  <c:v>Астраханская область</c:v>
                </c:pt>
                <c:pt idx="5">
                  <c:v>Волгоградская область</c:v>
                </c:pt>
                <c:pt idx="6">
                  <c:v>Ростовская область</c:v>
                </c:pt>
                <c:pt idx="7">
                  <c:v>г. Севастополь</c:v>
                </c:pt>
              </c:strCache>
            </c:strRef>
          </c:cat>
          <c:val>
            <c:numRef>
              <c:f>'1.8 ЧС природ ФО'!$B$50:$B$57</c:f>
              <c:numCache>
                <c:formatCode>General</c:formatCode>
                <c:ptCount val="8"/>
                <c:pt idx="0">
                  <c:v>2</c:v>
                </c:pt>
                <c:pt idx="1">
                  <c:v>0</c:v>
                </c:pt>
                <c:pt idx="2">
                  <c:v>2</c:v>
                </c:pt>
                <c:pt idx="3">
                  <c:v>6</c:v>
                </c:pt>
                <c:pt idx="4">
                  <c:v>0</c:v>
                </c:pt>
                <c:pt idx="5">
                  <c:v>0</c:v>
                </c:pt>
                <c:pt idx="6">
                  <c:v>4</c:v>
                </c:pt>
                <c:pt idx="7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DA97-4A33-BF95-A6A891771E01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ФО'!$A$50:$A$57</c:f>
              <c:strCache>
                <c:ptCount val="8"/>
                <c:pt idx="0">
                  <c:v>Республика Адыгея</c:v>
                </c:pt>
                <c:pt idx="1">
                  <c:v>Республика Калмыкия</c:v>
                </c:pt>
                <c:pt idx="2">
                  <c:v>Республика Крым</c:v>
                </c:pt>
                <c:pt idx="3">
                  <c:v>Краснодарский край</c:v>
                </c:pt>
                <c:pt idx="4">
                  <c:v>Астраханская область</c:v>
                </c:pt>
                <c:pt idx="5">
                  <c:v>Волгоградская область</c:v>
                </c:pt>
                <c:pt idx="6">
                  <c:v>Ростовская область</c:v>
                </c:pt>
                <c:pt idx="7">
                  <c:v>г. Севастополь</c:v>
                </c:pt>
              </c:strCache>
            </c:strRef>
          </c:cat>
          <c:val>
            <c:numRef>
              <c:f>'1.8 ЧС природ ФО'!$C$50:$C$57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DA97-4A33-BF95-A6A891771E0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49120"/>
        <c:axId val="610649512"/>
      </c:barChart>
      <c:catAx>
        <c:axId val="6106491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9512"/>
        <c:crosses val="autoZero"/>
        <c:auto val="1"/>
        <c:lblAlgn val="ctr"/>
        <c:lblOffset val="100"/>
        <c:noMultiLvlLbl val="0"/>
      </c:catAx>
      <c:valAx>
        <c:axId val="6106495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4912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ФО'!$A$59:$A$65</c:f>
              <c:strCache>
                <c:ptCount val="7"/>
                <c:pt idx="0">
                  <c:v>Республика Дагестан</c:v>
                </c:pt>
                <c:pt idx="1">
                  <c:v>Республика Ингушетия</c:v>
                </c:pt>
                <c:pt idx="2">
                  <c:v>Кабардино-Балкарская Республика</c:v>
                </c:pt>
                <c:pt idx="3">
                  <c:v>Карачаево-Черкесская Республика</c:v>
                </c:pt>
                <c:pt idx="4">
                  <c:v>Республика Северная Осетия (Алания)</c:v>
                </c:pt>
                <c:pt idx="5">
                  <c:v>Чеченская Республика</c:v>
                </c:pt>
                <c:pt idx="6">
                  <c:v>Ставропольский край</c:v>
                </c:pt>
              </c:strCache>
            </c:strRef>
          </c:cat>
          <c:val>
            <c:numRef>
              <c:f>'1.8 ЧС природ ФО'!$B$59:$B$65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1</c:v>
                </c:pt>
                <c:pt idx="3">
                  <c:v>2</c:v>
                </c:pt>
                <c:pt idx="4">
                  <c:v>3</c:v>
                </c:pt>
                <c:pt idx="5">
                  <c:v>0</c:v>
                </c:pt>
                <c:pt idx="6">
                  <c:v>3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79C-4E97-BFE8-281D2B9A3CC9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ФО'!$A$59:$A$65</c:f>
              <c:strCache>
                <c:ptCount val="7"/>
                <c:pt idx="0">
                  <c:v>Республика Дагестан</c:v>
                </c:pt>
                <c:pt idx="1">
                  <c:v>Республика Ингушетия</c:v>
                </c:pt>
                <c:pt idx="2">
                  <c:v>Кабардино-Балкарская Республика</c:v>
                </c:pt>
                <c:pt idx="3">
                  <c:v>Карачаево-Черкесская Республика</c:v>
                </c:pt>
                <c:pt idx="4">
                  <c:v>Республика Северная Осетия (Алания)</c:v>
                </c:pt>
                <c:pt idx="5">
                  <c:v>Чеченская Республика</c:v>
                </c:pt>
                <c:pt idx="6">
                  <c:v>Ставропольский край</c:v>
                </c:pt>
              </c:strCache>
            </c:strRef>
          </c:cat>
          <c:val>
            <c:numRef>
              <c:f>'1.8 ЧС природ ФО'!$C$59:$C$65</c:f>
              <c:numCache>
                <c:formatCode>General</c:formatCode>
                <c:ptCount val="7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979C-4E97-BFE8-281D2B9A3CC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51472"/>
        <c:axId val="610652256"/>
      </c:barChart>
      <c:catAx>
        <c:axId val="6106514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2256"/>
        <c:crosses val="autoZero"/>
        <c:auto val="1"/>
        <c:lblAlgn val="ctr"/>
        <c:lblOffset val="100"/>
        <c:noMultiLvlLbl val="0"/>
      </c:catAx>
      <c:valAx>
        <c:axId val="6106522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14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ФО'!$A$67:$A$77</c:f>
              <c:strCache>
                <c:ptCount val="11"/>
                <c:pt idx="0">
                  <c:v>Республика Карелия</c:v>
                </c:pt>
                <c:pt idx="1">
                  <c:v>Республика Коми</c:v>
                </c:pt>
                <c:pt idx="2">
                  <c:v>Архангельская область</c:v>
                </c:pt>
                <c:pt idx="3">
                  <c:v>Вологодская область</c:v>
                </c:pt>
                <c:pt idx="4">
                  <c:v>Калининградская область</c:v>
                </c:pt>
                <c:pt idx="5">
                  <c:v>Ленинградская область</c:v>
                </c:pt>
                <c:pt idx="6">
                  <c:v>Мурманская область</c:v>
                </c:pt>
                <c:pt idx="7">
                  <c:v>Новгородская область</c:v>
                </c:pt>
                <c:pt idx="8">
                  <c:v>Псковская область</c:v>
                </c:pt>
                <c:pt idx="9">
                  <c:v>Ненецкий автономный округ</c:v>
                </c:pt>
                <c:pt idx="10">
                  <c:v>г. Санкт-Петербург</c:v>
                </c:pt>
              </c:strCache>
            </c:strRef>
          </c:cat>
          <c:val>
            <c:numRef>
              <c:f>'1.8 ЧС природ ФО'!$B$67:$B$77</c:f>
              <c:numCache>
                <c:formatCode>General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50A-4ABE-8390-817A7657E2D9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ФО'!$A$67:$A$77</c:f>
              <c:strCache>
                <c:ptCount val="11"/>
                <c:pt idx="0">
                  <c:v>Республика Карелия</c:v>
                </c:pt>
                <c:pt idx="1">
                  <c:v>Республика Коми</c:v>
                </c:pt>
                <c:pt idx="2">
                  <c:v>Архангельская область</c:v>
                </c:pt>
                <c:pt idx="3">
                  <c:v>Вологодская область</c:v>
                </c:pt>
                <c:pt idx="4">
                  <c:v>Калининградская область</c:v>
                </c:pt>
                <c:pt idx="5">
                  <c:v>Ленинградская область</c:v>
                </c:pt>
                <c:pt idx="6">
                  <c:v>Мурманская область</c:v>
                </c:pt>
                <c:pt idx="7">
                  <c:v>Новгородская область</c:v>
                </c:pt>
                <c:pt idx="8">
                  <c:v>Псковская область</c:v>
                </c:pt>
                <c:pt idx="9">
                  <c:v>Ненецкий автономный округ</c:v>
                </c:pt>
                <c:pt idx="10">
                  <c:v>г. Санкт-Петербург</c:v>
                </c:pt>
              </c:strCache>
            </c:strRef>
          </c:cat>
          <c:val>
            <c:numRef>
              <c:f>'1.8 ЧС природ ФО'!$C$67:$C$77</c:f>
              <c:numCache>
                <c:formatCode>General</c:formatCode>
                <c:ptCount val="1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950A-4ABE-8390-817A7657E2D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53824"/>
        <c:axId val="610631872"/>
      </c:barChart>
      <c:catAx>
        <c:axId val="6106538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1872"/>
        <c:crosses val="autoZero"/>
        <c:auto val="1"/>
        <c:lblAlgn val="ctr"/>
        <c:lblOffset val="100"/>
        <c:noMultiLvlLbl val="0"/>
      </c:catAx>
      <c:valAx>
        <c:axId val="6106318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5382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ФО'!$A$79:$A$96</c:f>
              <c:strCache>
                <c:ptCount val="18"/>
                <c:pt idx="0">
                  <c:v>Белгородская область</c:v>
                </c:pt>
                <c:pt idx="1">
                  <c:v>Брянская область</c:v>
                </c:pt>
                <c:pt idx="2">
                  <c:v>Владимирская область</c:v>
                </c:pt>
                <c:pt idx="3">
                  <c:v>Воронежская область</c:v>
                </c:pt>
                <c:pt idx="4">
                  <c:v>Ивановская область</c:v>
                </c:pt>
                <c:pt idx="5">
                  <c:v>Калужская область</c:v>
                </c:pt>
                <c:pt idx="6">
                  <c:v>Костромская область</c:v>
                </c:pt>
                <c:pt idx="7">
                  <c:v>Курская область</c:v>
                </c:pt>
                <c:pt idx="8">
                  <c:v>Липецкая область</c:v>
                </c:pt>
                <c:pt idx="9">
                  <c:v>Московская область</c:v>
                </c:pt>
                <c:pt idx="10">
                  <c:v>Орловская область</c:v>
                </c:pt>
                <c:pt idx="11">
                  <c:v>Рязанская область</c:v>
                </c:pt>
                <c:pt idx="12">
                  <c:v>Смоленская область</c:v>
                </c:pt>
                <c:pt idx="13">
                  <c:v>Тамбовская область</c:v>
                </c:pt>
                <c:pt idx="14">
                  <c:v>Тверская область</c:v>
                </c:pt>
                <c:pt idx="15">
                  <c:v>Тульская область</c:v>
                </c:pt>
                <c:pt idx="16">
                  <c:v>Ярославская область</c:v>
                </c:pt>
                <c:pt idx="17">
                  <c:v>г. Москва</c:v>
                </c:pt>
              </c:strCache>
            </c:strRef>
          </c:cat>
          <c:val>
            <c:numRef>
              <c:f>'1.8 ЧС природ ФО'!$B$79:$B$96</c:f>
              <c:numCache>
                <c:formatCode>General</c:formatCode>
                <c:ptCount val="18"/>
                <c:pt idx="0">
                  <c:v>0</c:v>
                </c:pt>
                <c:pt idx="1">
                  <c:v>4</c:v>
                </c:pt>
                <c:pt idx="2">
                  <c:v>0</c:v>
                </c:pt>
                <c:pt idx="3">
                  <c:v>0</c:v>
                </c:pt>
                <c:pt idx="4">
                  <c:v>1</c:v>
                </c:pt>
                <c:pt idx="5">
                  <c:v>1</c:v>
                </c:pt>
                <c:pt idx="6">
                  <c:v>9</c:v>
                </c:pt>
                <c:pt idx="7">
                  <c:v>3</c:v>
                </c:pt>
                <c:pt idx="8">
                  <c:v>1</c:v>
                </c:pt>
                <c:pt idx="9">
                  <c:v>0</c:v>
                </c:pt>
                <c:pt idx="10">
                  <c:v>0</c:v>
                </c:pt>
                <c:pt idx="11">
                  <c:v>1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1</c:v>
                </c:pt>
                <c:pt idx="16">
                  <c:v>0</c:v>
                </c:pt>
                <c:pt idx="17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EFDD-42CE-9E79-910A76050A73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'1.8 ЧС природ ФО'!$A$79:$A$96</c:f>
              <c:strCache>
                <c:ptCount val="18"/>
                <c:pt idx="0">
                  <c:v>Белгородская область</c:v>
                </c:pt>
                <c:pt idx="1">
                  <c:v>Брянская область</c:v>
                </c:pt>
                <c:pt idx="2">
                  <c:v>Владимирская область</c:v>
                </c:pt>
                <c:pt idx="3">
                  <c:v>Воронежская область</c:v>
                </c:pt>
                <c:pt idx="4">
                  <c:v>Ивановская область</c:v>
                </c:pt>
                <c:pt idx="5">
                  <c:v>Калужская область</c:v>
                </c:pt>
                <c:pt idx="6">
                  <c:v>Костромская область</c:v>
                </c:pt>
                <c:pt idx="7">
                  <c:v>Курская область</c:v>
                </c:pt>
                <c:pt idx="8">
                  <c:v>Липецкая область</c:v>
                </c:pt>
                <c:pt idx="9">
                  <c:v>Московская область</c:v>
                </c:pt>
                <c:pt idx="10">
                  <c:v>Орловская область</c:v>
                </c:pt>
                <c:pt idx="11">
                  <c:v>Рязанская область</c:v>
                </c:pt>
                <c:pt idx="12">
                  <c:v>Смоленская область</c:v>
                </c:pt>
                <c:pt idx="13">
                  <c:v>Тамбовская область</c:v>
                </c:pt>
                <c:pt idx="14">
                  <c:v>Тверская область</c:v>
                </c:pt>
                <c:pt idx="15">
                  <c:v>Тульская область</c:v>
                </c:pt>
                <c:pt idx="16">
                  <c:v>Ярославская область</c:v>
                </c:pt>
                <c:pt idx="17">
                  <c:v>г. Москва</c:v>
                </c:pt>
              </c:strCache>
            </c:strRef>
          </c:cat>
          <c:val>
            <c:numRef>
              <c:f>'1.8 ЧС природ ФО'!$C$79:$C$96</c:f>
              <c:numCache>
                <c:formatCode>General</c:formatCode>
                <c:ptCount val="1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EFDD-42CE-9E79-910A76050A7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31480"/>
        <c:axId val="610626384"/>
      </c:barChart>
      <c:catAx>
        <c:axId val="6106314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26384"/>
        <c:crosses val="autoZero"/>
        <c:auto val="1"/>
        <c:lblAlgn val="ctr"/>
        <c:lblOffset val="100"/>
        <c:noMultiLvlLbl val="0"/>
      </c:catAx>
      <c:valAx>
        <c:axId val="6106263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314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v>2021 г.</c:v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cat>
            <c:strRef>
              <c:f>('[2]Таблица 1.3'!$A$4:$M$4,'[2]Таблица 1.3'!$A$42:$M$42,'[2]Таблица 1.3'!$A$90:$M$90)</c:f>
              <c:strCache>
                <c:ptCount val="39"/>
                <c:pt idx="0">
                  <c:v>Техногенные ЧС</c:v>
                </c:pt>
                <c:pt idx="13">
                  <c:v>Природные ЧС</c:v>
                </c:pt>
                <c:pt idx="26">
                  <c:v>Природные чрезвычайные ситуации, связанные с биологической опасностью</c:v>
                </c:pt>
              </c:strCache>
            </c:strRef>
          </c:cat>
          <c:val>
            <c:numRef>
              <c:f>('[2]Таблица 1.3'!$B$40,'[2]Таблица 1.3'!$B$89,'[2]Таблица 1.3'!$B$94)</c:f>
              <c:numCache>
                <c:formatCode>General</c:formatCode>
                <c:ptCount val="3"/>
                <c:pt idx="0">
                  <c:v>190</c:v>
                </c:pt>
                <c:pt idx="1">
                  <c:v>108</c:v>
                </c:pt>
                <c:pt idx="2">
                  <c:v>86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BD39-4879-818E-61EED15F5B71}"/>
            </c:ext>
          </c:extLst>
        </c:ser>
        <c:ser>
          <c:idx val="1"/>
          <c:order val="1"/>
          <c:tx>
            <c:v>2022 г.</c:v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cat>
            <c:strRef>
              <c:f>('[2]Таблица 1.3'!$A$4:$M$4,'[2]Таблица 1.3'!$A$42:$M$42,'[2]Таблица 1.3'!$A$90:$M$90)</c:f>
              <c:strCache>
                <c:ptCount val="39"/>
                <c:pt idx="0">
                  <c:v>Техногенные ЧС</c:v>
                </c:pt>
                <c:pt idx="13">
                  <c:v>Природные ЧС</c:v>
                </c:pt>
                <c:pt idx="26">
                  <c:v>Природные чрезвычайные ситуации, связанные с биологической опасностью</c:v>
                </c:pt>
              </c:strCache>
            </c:strRef>
          </c:cat>
          <c:val>
            <c:numRef>
              <c:f>('[2]Таблица 1.3'!$C$40,'[2]Таблица 1.3'!$C$89,'[2]Таблица 1.3'!$C$94)</c:f>
              <c:numCache>
                <c:formatCode>General</c:formatCode>
                <c:ptCount val="3"/>
                <c:pt idx="0">
                  <c:v>164</c:v>
                </c:pt>
                <c:pt idx="1">
                  <c:v>57</c:v>
                </c:pt>
                <c:pt idx="2">
                  <c:v>21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BD39-4879-818E-61EED15F5B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610632264"/>
        <c:axId val="610632656"/>
        <c:axId val="0"/>
      </c:bar3DChart>
      <c:catAx>
        <c:axId val="6106322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610632656"/>
        <c:crosses val="autoZero"/>
        <c:auto val="1"/>
        <c:lblAlgn val="ctr"/>
        <c:lblOffset val="100"/>
        <c:noMultiLvlLbl val="0"/>
      </c:catAx>
      <c:valAx>
        <c:axId val="6106326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6106322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numFmt formatCode="0.00%" sourceLinked="0"/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'1.1 оперативные показатели'!$C$1:$D$2</c:f>
              <c:strCache>
                <c:ptCount val="2"/>
                <c:pt idx="0">
                  <c:v>Техногенные ЧС, ед.</c:v>
                </c:pt>
                <c:pt idx="1">
                  <c:v>Природные ЧС, ед.</c:v>
                </c:pt>
              </c:strCache>
            </c:strRef>
          </c:cat>
          <c:val>
            <c:numRef>
              <c:f>('1.1 оперативные показатели'!$C$101,'1.1 оперативные показатели'!$D$101)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0C1-4709-B2A0-6570E50D791E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80500565701538618"/>
          <c:y val="0.37917693910631739"/>
          <c:w val="0.17638180044248394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numFmt formatCode="0.00%" sourceLinked="0"/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multiLvlStrRef>
              <c:f>'1.1 оперативные показатели'!$C$1:$D$2</c:f>
              <c:multiLvlStrCache>
                <c:ptCount val="1"/>
                <c:lvl>
                  <c:pt idx="0">
                    <c:v>Природные ЧС, ед.</c:v>
                  </c:pt>
                </c:lvl>
                <c:lvl>
                  <c:pt idx="0">
                    <c:v>Техногенные ЧС, ед.</c:v>
                  </c:pt>
                </c:lvl>
              </c:multiLvlStrCache>
            </c:multiLvlStrRef>
          </c:cat>
          <c:val>
            <c:numRef>
              <c:f>('Таблица 1.3+'!$F$40,'Таблица 1.3+'!$F$88)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FAF3-48BD-9AE5-7BB845C55186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8871711716663684"/>
          <c:y val="0.37917693910631739"/>
          <c:w val="0.19267034029123323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numFmt formatCode="0.00%" sourceLinked="0"/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multiLvlStrRef>
              <c:f>'1.1 оперативные показатели'!$C$1:$D$2</c:f>
              <c:multiLvlStrCache>
                <c:ptCount val="1"/>
                <c:lvl>
                  <c:pt idx="0">
                    <c:v>Природные ЧС, ед.</c:v>
                  </c:pt>
                </c:lvl>
                <c:lvl>
                  <c:pt idx="0">
                    <c:v>Техногенные ЧС, ед.</c:v>
                  </c:pt>
                </c:lvl>
              </c:multiLvlStrCache>
            </c:multiLvlStrRef>
          </c:cat>
          <c:val>
            <c:numRef>
              <c:f>('Таблица 1.3+'!$I$40,'Таблица 1.3+'!$I$88)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00FB-4A6F-B50B-7ECF822EC3AA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80500565701538618"/>
          <c:y val="0.37917693910631739"/>
          <c:w val="0.17638180044248394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numFmt formatCode="0.00%" sourceLinked="0"/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multiLvlStrRef>
              <c:f>'1.1 оперативные показатели'!$C$1:$D$2</c:f>
              <c:multiLvlStrCache>
                <c:ptCount val="1"/>
                <c:lvl>
                  <c:pt idx="0">
                    <c:v>Природные ЧС, ед.</c:v>
                  </c:pt>
                </c:lvl>
                <c:lvl>
                  <c:pt idx="0">
                    <c:v>Техногенные ЧС, ед.</c:v>
                  </c:pt>
                </c:lvl>
              </c:multiLvlStrCache>
            </c:multiLvlStrRef>
          </c:cat>
          <c:val>
            <c:numRef>
              <c:f>('Таблица 1.3+'!$L$40,'Таблица 1.3+'!$L$88)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488-4FF9-A95A-D2B03CFF2E76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80500565701538618"/>
          <c:y val="0.37917693910631739"/>
          <c:w val="0.17638180044248394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1.3+'!$B$1:$C$2</c:f>
              <c:strCache>
                <c:ptCount val="1"/>
                <c:pt idx="0">
                  <c:v>Количество ЧС, ед.</c:v>
                </c:pt>
              </c:strCache>
            </c:strRef>
          </c:cat>
          <c:val>
            <c:numRef>
              <c:f>'Таблица 1.3+'!$B$94</c:f>
              <c:numCache>
                <c:formatCode>General</c:formatCode>
                <c:ptCount val="1"/>
                <c:pt idx="0">
                  <c:v>242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08CA-45BC-A8B8-2C22F20DD2D7}"/>
            </c:ext>
          </c:extLst>
        </c:ser>
        <c:ser>
          <c:idx val="1"/>
          <c:order val="1"/>
          <c:tx>
            <c:v>2023 г</c:v>
          </c:tx>
          <c:spPr>
            <a:solidFill>
              <a:schemeClr val="tx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1.3+'!$B$1:$C$2</c:f>
              <c:strCache>
                <c:ptCount val="1"/>
                <c:pt idx="0">
                  <c:v>Количество ЧС, ед.</c:v>
                </c:pt>
              </c:strCache>
            </c:strRef>
          </c:cat>
          <c:val>
            <c:numRef>
              <c:f>'Таблица 1.3+'!$C$94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08CA-45BC-A8B8-2C22F20DD2D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610627560"/>
        <c:axId val="610629520"/>
      </c:barChart>
      <c:catAx>
        <c:axId val="610627560"/>
        <c:scaling>
          <c:orientation val="minMax"/>
        </c:scaling>
        <c:delete val="1"/>
        <c:axPos val="l"/>
        <c:numFmt formatCode="General" sourceLinked="1"/>
        <c:majorTickMark val="out"/>
        <c:minorTickMark val="none"/>
        <c:tickLblPos val="nextTo"/>
        <c:crossAx val="610629520"/>
        <c:crosses val="autoZero"/>
        <c:auto val="1"/>
        <c:lblAlgn val="ctr"/>
        <c:lblOffset val="100"/>
        <c:noMultiLvlLbl val="0"/>
      </c:catAx>
      <c:valAx>
        <c:axId val="61062952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ru-RU">
                    <a:latin typeface="Arial" panose="020B0604020202020204" pitchFamily="34" charset="0"/>
                    <a:cs typeface="Arial" panose="020B0604020202020204" pitchFamily="34" charset="0"/>
                  </a:rPr>
                  <a:t>Количество</a:t>
                </a:r>
                <a:r>
                  <a:rPr lang="ru-RU" baseline="0">
                    <a:latin typeface="Arial" panose="020B0604020202020204" pitchFamily="34" charset="0"/>
                    <a:cs typeface="Arial" panose="020B0604020202020204" pitchFamily="34" charset="0"/>
                  </a:rPr>
                  <a:t> ЧС</a:t>
                </a:r>
                <a:endParaRPr lang="ru-RU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34773381452318453"/>
              <c:y val="0.924074074074074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ru-R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ru-RU"/>
          </a:p>
        </c:txPr>
        <c:crossAx val="6106275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1.3+'!$E$1:$F$2</c:f>
              <c:strCache>
                <c:ptCount val="1"/>
                <c:pt idx="0">
                  <c:v>Погибло, чел.</c:v>
                </c:pt>
              </c:strCache>
            </c:strRef>
          </c:cat>
          <c:val>
            <c:numRef>
              <c:f>'Таблица 1.3+'!$E$94</c:f>
              <c:numCache>
                <c:formatCode>General</c:formatCode>
                <c:ptCount val="1"/>
                <c:pt idx="0">
                  <c:v>191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BD77-41FF-999F-EB756A9CBD59}"/>
            </c:ext>
          </c:extLst>
        </c:ser>
        <c:ser>
          <c:idx val="1"/>
          <c:order val="1"/>
          <c:tx>
            <c:v>2023 г</c:v>
          </c:tx>
          <c:spPr>
            <a:solidFill>
              <a:schemeClr val="tx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1.3+'!$E$1:$F$2</c:f>
              <c:strCache>
                <c:ptCount val="1"/>
                <c:pt idx="0">
                  <c:v>Погибло, чел.</c:v>
                </c:pt>
              </c:strCache>
            </c:strRef>
          </c:cat>
          <c:val>
            <c:numRef>
              <c:f>'Таблица 1.3+'!$F$94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BD77-41FF-999F-EB756A9CBD5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610625208"/>
        <c:axId val="610634224"/>
      </c:barChart>
      <c:catAx>
        <c:axId val="610625208"/>
        <c:scaling>
          <c:orientation val="minMax"/>
        </c:scaling>
        <c:delete val="1"/>
        <c:axPos val="l"/>
        <c:numFmt formatCode="General" sourceLinked="1"/>
        <c:majorTickMark val="out"/>
        <c:minorTickMark val="none"/>
        <c:tickLblPos val="nextTo"/>
        <c:crossAx val="610634224"/>
        <c:crosses val="autoZero"/>
        <c:auto val="1"/>
        <c:lblAlgn val="ctr"/>
        <c:lblOffset val="100"/>
        <c:noMultiLvlLbl val="0"/>
      </c:catAx>
      <c:valAx>
        <c:axId val="6106342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ru-RU">
                    <a:latin typeface="Arial" panose="020B0604020202020204" pitchFamily="34" charset="0"/>
                    <a:cs typeface="Arial" panose="020B0604020202020204" pitchFamily="34" charset="0"/>
                  </a:rPr>
                  <a:t>Количество погибших в</a:t>
                </a:r>
                <a:r>
                  <a:rPr lang="ru-RU" baseline="0">
                    <a:latin typeface="Arial" panose="020B0604020202020204" pitchFamily="34" charset="0"/>
                    <a:cs typeface="Arial" panose="020B0604020202020204" pitchFamily="34" charset="0"/>
                  </a:rPr>
                  <a:t> ЧС</a:t>
                </a:r>
                <a:endParaRPr lang="ru-RU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34773381452318453"/>
              <c:y val="0.924074074074074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ru-R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ru-RU"/>
          </a:p>
        </c:txPr>
        <c:crossAx val="6106252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1.3+'!$H$1:$I$2</c:f>
              <c:strCache>
                <c:ptCount val="1"/>
                <c:pt idx="0">
                  <c:v>Пострадало, чел.</c:v>
                </c:pt>
              </c:strCache>
            </c:strRef>
          </c:cat>
          <c:val>
            <c:numRef>
              <c:f>'Таблица 1.3+'!$H$94</c:f>
              <c:numCache>
                <c:formatCode>General</c:formatCode>
                <c:ptCount val="1"/>
                <c:pt idx="0">
                  <c:v>157466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AAC-418F-AF1E-5BBA3AB76803}"/>
            </c:ext>
          </c:extLst>
        </c:ser>
        <c:ser>
          <c:idx val="1"/>
          <c:order val="1"/>
          <c:tx>
            <c:v>2023 г</c:v>
          </c:tx>
          <c:spPr>
            <a:solidFill>
              <a:schemeClr val="tx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1.3+'!$H$1:$I$2</c:f>
              <c:strCache>
                <c:ptCount val="1"/>
                <c:pt idx="0">
                  <c:v>Пострадало, чел.</c:v>
                </c:pt>
              </c:strCache>
            </c:strRef>
          </c:cat>
          <c:val>
            <c:numRef>
              <c:f>'Таблица 1.3+'!$I$94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3AAC-418F-AF1E-5BBA3AB768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610633832"/>
        <c:axId val="610629912"/>
      </c:barChart>
      <c:catAx>
        <c:axId val="610633832"/>
        <c:scaling>
          <c:orientation val="minMax"/>
        </c:scaling>
        <c:delete val="1"/>
        <c:axPos val="l"/>
        <c:numFmt formatCode="General" sourceLinked="1"/>
        <c:majorTickMark val="out"/>
        <c:minorTickMark val="none"/>
        <c:tickLblPos val="nextTo"/>
        <c:crossAx val="610629912"/>
        <c:crosses val="autoZero"/>
        <c:auto val="1"/>
        <c:lblAlgn val="ctr"/>
        <c:lblOffset val="100"/>
        <c:noMultiLvlLbl val="0"/>
      </c:catAx>
      <c:valAx>
        <c:axId val="61062991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ru-RU">
                    <a:latin typeface="Arial" panose="020B0604020202020204" pitchFamily="34" charset="0"/>
                    <a:cs typeface="Arial" panose="020B0604020202020204" pitchFamily="34" charset="0"/>
                  </a:rPr>
                  <a:t>Количество пострадавших в</a:t>
                </a:r>
                <a:r>
                  <a:rPr lang="ru-RU" baseline="0">
                    <a:latin typeface="Arial" panose="020B0604020202020204" pitchFamily="34" charset="0"/>
                    <a:cs typeface="Arial" panose="020B0604020202020204" pitchFamily="34" charset="0"/>
                  </a:rPr>
                  <a:t> ЧС</a:t>
                </a:r>
                <a:endParaRPr lang="ru-RU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34773381452318453"/>
              <c:y val="0.924074074074074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ru-R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ru-RU"/>
          </a:p>
        </c:txPr>
        <c:crossAx val="6106338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1.3+'!$K$1:$L$2</c:f>
              <c:strCache>
                <c:ptCount val="1"/>
                <c:pt idx="0">
                  <c:v>Спасено, чел.</c:v>
                </c:pt>
              </c:strCache>
            </c:strRef>
          </c:cat>
          <c:val>
            <c:numRef>
              <c:f>'Таблица 1.3+'!$K$94</c:f>
              <c:numCache>
                <c:formatCode>General</c:formatCode>
                <c:ptCount val="1"/>
                <c:pt idx="0">
                  <c:v>787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DB46-496E-A97F-009655D0E191}"/>
            </c:ext>
          </c:extLst>
        </c:ser>
        <c:ser>
          <c:idx val="1"/>
          <c:order val="1"/>
          <c:tx>
            <c:v>2023 г</c:v>
          </c:tx>
          <c:spPr>
            <a:solidFill>
              <a:schemeClr val="tx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1.3+'!$K$1:$L$2</c:f>
              <c:strCache>
                <c:ptCount val="1"/>
                <c:pt idx="0">
                  <c:v>Спасено, чел.</c:v>
                </c:pt>
              </c:strCache>
            </c:strRef>
          </c:cat>
          <c:val>
            <c:numRef>
              <c:f>'Таблица 1.3+'!$L$94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DB46-496E-A97F-009655D0E1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610629128"/>
        <c:axId val="610631088"/>
      </c:barChart>
      <c:catAx>
        <c:axId val="610629128"/>
        <c:scaling>
          <c:orientation val="minMax"/>
        </c:scaling>
        <c:delete val="1"/>
        <c:axPos val="l"/>
        <c:numFmt formatCode="General" sourceLinked="1"/>
        <c:majorTickMark val="out"/>
        <c:minorTickMark val="none"/>
        <c:tickLblPos val="nextTo"/>
        <c:crossAx val="610631088"/>
        <c:crosses val="autoZero"/>
        <c:auto val="1"/>
        <c:lblAlgn val="ctr"/>
        <c:lblOffset val="100"/>
        <c:noMultiLvlLbl val="0"/>
      </c:catAx>
      <c:valAx>
        <c:axId val="61063108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ru-RU">
                    <a:latin typeface="Arial" panose="020B0604020202020204" pitchFamily="34" charset="0"/>
                    <a:cs typeface="Arial" panose="020B0604020202020204" pitchFamily="34" charset="0"/>
                  </a:rPr>
                  <a:t>Количество спасенных в</a:t>
                </a:r>
                <a:r>
                  <a:rPr lang="ru-RU" baseline="0">
                    <a:latin typeface="Arial" panose="020B0604020202020204" pitchFamily="34" charset="0"/>
                    <a:cs typeface="Arial" panose="020B0604020202020204" pitchFamily="34" charset="0"/>
                  </a:rPr>
                  <a:t> ЧС</a:t>
                </a:r>
                <a:endParaRPr lang="ru-RU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34773381452318453"/>
              <c:y val="0.924074074074074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ru-R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ru-RU"/>
          </a:p>
        </c:txPr>
        <c:crossAx val="6106291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1.3+'!$K$1:$L$2</c:f>
              <c:strCache>
                <c:ptCount val="1"/>
                <c:pt idx="0">
                  <c:v>Спасено, чел.</c:v>
                </c:pt>
              </c:strCache>
            </c:strRef>
          </c:cat>
          <c:val>
            <c:numRef>
              <c:f>'Таблица 1.4+'!$B$93</c:f>
              <c:numCache>
                <c:formatCode>General</c:formatCode>
                <c:ptCount val="1"/>
                <c:pt idx="0">
                  <c:v>7828394.7328999992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677-4EE4-8820-7B4219229F91}"/>
            </c:ext>
          </c:extLst>
        </c:ser>
        <c:ser>
          <c:idx val="1"/>
          <c:order val="1"/>
          <c:tx>
            <c:v>2023 г</c:v>
          </c:tx>
          <c:spPr>
            <a:solidFill>
              <a:schemeClr val="tx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'Таблица 1.3+'!$K$1:$L$2</c:f>
              <c:strCache>
                <c:ptCount val="1"/>
                <c:pt idx="0">
                  <c:v>Спасено, чел.</c:v>
                </c:pt>
              </c:strCache>
            </c:strRef>
          </c:cat>
          <c:val>
            <c:numRef>
              <c:f>'Таблица 1.4+'!$C$93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6677-4EE4-8820-7B4219229F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610630304"/>
        <c:axId val="610623640"/>
      </c:barChart>
      <c:catAx>
        <c:axId val="610630304"/>
        <c:scaling>
          <c:orientation val="minMax"/>
        </c:scaling>
        <c:delete val="1"/>
        <c:axPos val="l"/>
        <c:numFmt formatCode="General" sourceLinked="1"/>
        <c:majorTickMark val="out"/>
        <c:minorTickMark val="none"/>
        <c:tickLblPos val="nextTo"/>
        <c:crossAx val="610623640"/>
        <c:crosses val="autoZero"/>
        <c:auto val="1"/>
        <c:lblAlgn val="ctr"/>
        <c:lblOffset val="100"/>
        <c:noMultiLvlLbl val="0"/>
      </c:catAx>
      <c:valAx>
        <c:axId val="61062364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ru-RU">
                    <a:latin typeface="Arial" panose="020B0604020202020204" pitchFamily="34" charset="0"/>
                    <a:cs typeface="Arial" panose="020B0604020202020204" pitchFamily="34" charset="0"/>
                  </a:rPr>
                  <a:t>Ущерб от</a:t>
                </a:r>
                <a:r>
                  <a:rPr lang="ru-RU" baseline="0">
                    <a:latin typeface="Arial" panose="020B0604020202020204" pitchFamily="34" charset="0"/>
                    <a:cs typeface="Arial" panose="020B0604020202020204" pitchFamily="34" charset="0"/>
                  </a:rPr>
                  <a:t> ЧС</a:t>
                </a:r>
                <a:endParaRPr lang="ru-RU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34773381452318453"/>
              <c:y val="0.924074074074074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ru-R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ru-RU"/>
          </a:p>
        </c:txPr>
        <c:crossAx val="6106303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'1.13 ЦУКС'!$D$5:$D$12</c:f>
              <c:strCache>
                <c:ptCount val="8"/>
                <c:pt idx="0">
                  <c:v>прогнозов подготовлено</c:v>
                </c:pt>
                <c:pt idx="1">
                  <c:v>моделей подготовлено</c:v>
                </c:pt>
                <c:pt idx="2">
                  <c:v>            по паводсковой обстановке (в т.ч.)</c:v>
                </c:pt>
                <c:pt idx="3">
                  <c:v>            по лесопожарной обстановке (в т.ч.)</c:v>
                </c:pt>
                <c:pt idx="4">
                  <c:v>подготовлено высокодетальных космических снимков</c:v>
                </c:pt>
                <c:pt idx="5">
                  <c:v>выявлено термических точек</c:v>
                </c:pt>
                <c:pt idx="6">
                  <c:v>построен ортофотоплан местности</c:v>
                </c:pt>
                <c:pt idx="7">
                  <c:v>Количество раз реагирования оперативных групп</c:v>
                </c:pt>
              </c:strCache>
            </c:strRef>
          </c:cat>
          <c:val>
            <c:numRef>
              <c:f>'1.13 ЦУКС'!$E$5:$E$12</c:f>
              <c:numCache>
                <c:formatCode>General</c:formatCode>
                <c:ptCount val="8"/>
                <c:pt idx="0">
                  <c:v>30685</c:v>
                </c:pt>
                <c:pt idx="1">
                  <c:v>64020</c:v>
                </c:pt>
                <c:pt idx="2">
                  <c:v>10072</c:v>
                </c:pt>
                <c:pt idx="3">
                  <c:v>1618</c:v>
                </c:pt>
                <c:pt idx="4">
                  <c:v>4766</c:v>
                </c:pt>
                <c:pt idx="5">
                  <c:v>160678</c:v>
                </c:pt>
                <c:pt idx="6">
                  <c:v>2621</c:v>
                </c:pt>
                <c:pt idx="7">
                  <c:v>2417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87C-4F59-9E7D-166594D403FD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'1.13 ЦУКС'!$D$5:$D$12</c:f>
              <c:strCache>
                <c:ptCount val="8"/>
                <c:pt idx="0">
                  <c:v>прогнозов подготовлено</c:v>
                </c:pt>
                <c:pt idx="1">
                  <c:v>моделей подготовлено</c:v>
                </c:pt>
                <c:pt idx="2">
                  <c:v>            по паводсковой обстановке (в т.ч.)</c:v>
                </c:pt>
                <c:pt idx="3">
                  <c:v>            по лесопожарной обстановке (в т.ч.)</c:v>
                </c:pt>
                <c:pt idx="4">
                  <c:v>подготовлено высокодетальных космических снимков</c:v>
                </c:pt>
                <c:pt idx="5">
                  <c:v>выявлено термических точек</c:v>
                </c:pt>
                <c:pt idx="6">
                  <c:v>построен ортофотоплан местности</c:v>
                </c:pt>
                <c:pt idx="7">
                  <c:v>Количество раз реагирования оперативных групп</c:v>
                </c:pt>
              </c:strCache>
            </c:strRef>
          </c:cat>
          <c:val>
            <c:numRef>
              <c:f>'1.13 ЦУКС'!$F$5:$F$12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87C-4F59-9E7D-166594D403F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0624032"/>
        <c:axId val="610625600"/>
      </c:barChart>
      <c:catAx>
        <c:axId val="610624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25600"/>
        <c:crosses val="autoZero"/>
        <c:auto val="1"/>
        <c:lblAlgn val="ctr"/>
        <c:lblOffset val="100"/>
        <c:noMultiLvlLbl val="0"/>
      </c:catAx>
      <c:valAx>
        <c:axId val="6106256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06240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7364610673665792"/>
          <c:y val="7.8758397034978E-2"/>
          <c:w val="0.47493022747156605"/>
          <c:h val="0.79210044887544029"/>
        </c:manualLayout>
      </c:layout>
      <c:pieChart>
        <c:varyColors val="1"/>
        <c:ser>
          <c:idx val="0"/>
          <c:order val="0"/>
          <c:tx>
            <c:strRef>
              <c:f>'1.14 (1) СМИ '!$C$4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FCBE-4CA9-954B-D3C918F68C8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FCBE-4CA9-954B-D3C918F68C8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FCBE-4CA9-954B-D3C918F68C8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'!$A$5:$A$7</c:f>
              <c:strCache>
                <c:ptCount val="3"/>
                <c:pt idx="0">
                  <c:v>центральный аппарат</c:v>
                </c:pt>
                <c:pt idx="1">
                  <c:v>территориальные органы</c:v>
                </c:pt>
                <c:pt idx="2">
                  <c:v>учреждения</c:v>
                </c:pt>
              </c:strCache>
            </c:strRef>
          </c:cat>
          <c:val>
            <c:numRef>
              <c:f>'1.14 (1) СМИ '!$C$5:$C$7</c:f>
              <c:numCache>
                <c:formatCode>0.00%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C9F-4826-BC19-99C2CF332351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4921456692913391"/>
          <c:y val="0.17129896636443723"/>
          <c:w val="0.24045975503062117"/>
          <c:h val="0.6572856989123754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tx>
            <c:strRef>
              <c:f>'1.14 (1) СМИ '!$C$17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64E5-44C0-B763-DD6B7B417E4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0F3A-4D1D-B7AA-D541DE84177E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6-64E5-44C0-B763-DD6B7B417E4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0F3A-4D1D-B7AA-D541DE84177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'!$A$18:$A$21</c:f>
              <c:strCache>
                <c:ptCount val="4"/>
                <c:pt idx="0">
                  <c:v>ТВ</c:v>
                </c:pt>
                <c:pt idx="1">
                  <c:v>радио</c:v>
                </c:pt>
                <c:pt idx="2">
                  <c:v>печатные</c:v>
                </c:pt>
                <c:pt idx="3">
                  <c:v>сетевые</c:v>
                </c:pt>
              </c:strCache>
            </c:strRef>
          </c:cat>
          <c:val>
            <c:numRef>
              <c:f>'1.14 (1) СМИ '!$C$18:$C$21</c:f>
              <c:numCache>
                <c:formatCode>0.00%</c:formatCode>
                <c:ptCount val="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4E5-44C0-B763-DD6B7B417E41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3610892388451432"/>
          <c:y val="6.6689236660951348E-2"/>
          <c:w val="0.21944860017497811"/>
          <c:h val="0.8500930102183829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5327712160979878"/>
          <c:y val="0.102039978566693"/>
          <c:w val="0.41011264216972876"/>
          <c:h val="0.68115594547221392"/>
        </c:manualLayout>
      </c:layout>
      <c:pieChart>
        <c:varyColors val="1"/>
        <c:ser>
          <c:idx val="0"/>
          <c:order val="0"/>
          <c:tx>
            <c:strRef>
              <c:f>'1.14 (1) СМИ '!$C$27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5B4C-4E6C-BDCA-14EB163DB1D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5B4C-4E6C-BDCA-14EB163DB1D7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5B4C-4E6C-BDCA-14EB163DB1D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'!$A$28:$A$30</c:f>
              <c:strCache>
                <c:ptCount val="3"/>
                <c:pt idx="0">
                  <c:v>центральный аппарат</c:v>
                </c:pt>
                <c:pt idx="1">
                  <c:v>территориальные органы</c:v>
                </c:pt>
                <c:pt idx="2">
                  <c:v>учреждения</c:v>
                </c:pt>
              </c:strCache>
            </c:strRef>
          </c:cat>
          <c:val>
            <c:numRef>
              <c:f>'1.14 (1) СМИ '!$C$28:$C$30</c:f>
              <c:numCache>
                <c:formatCode>0.00%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C005-4926-8857-C830BE7B72F8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67143678915135607"/>
          <c:y val="5.929102936976953E-2"/>
          <c:w val="0.28490419947506557"/>
          <c:h val="0.8344872807854036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7903586122154211"/>
          <c:y val="5.0996754751970332E-2"/>
          <c:w val="0.41122627185130206"/>
          <c:h val="0.73540386728432239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'1.14 (1) СМИ '!$R$4</c:f>
              <c:strCache>
                <c:ptCount val="1"/>
                <c:pt idx="0">
                  <c:v>подкасты</c:v>
                </c:pt>
              </c:strCache>
            </c:strRef>
          </c:tx>
          <c:spPr>
            <a:solidFill>
              <a:schemeClr val="accent1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'1.14 (1) СМИ '!$N$5:$N$7</c:f>
              <c:strCache>
                <c:ptCount val="3"/>
                <c:pt idx="0">
                  <c:v>центральный аппарат</c:v>
                </c:pt>
                <c:pt idx="1">
                  <c:v>территориальные органы</c:v>
                </c:pt>
                <c:pt idx="2">
                  <c:v>учреждения</c:v>
                </c:pt>
              </c:strCache>
            </c:strRef>
          </c:cat>
          <c:val>
            <c:numRef>
              <c:f>'1.14 (1) СМИ '!$R$5:$R$7</c:f>
              <c:numCache>
                <c:formatCode>0.0%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261-4FD8-ABAE-E3517791D68D}"/>
            </c:ext>
          </c:extLst>
        </c:ser>
        <c:ser>
          <c:idx val="1"/>
          <c:order val="1"/>
          <c:tx>
            <c:strRef>
              <c:f>'1.14 (1) СМИ '!$S$4</c:f>
              <c:strCache>
                <c:ptCount val="1"/>
                <c:pt idx="0">
                  <c:v>пресс-конференции,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'1.14 (1) СМИ '!$N$5:$N$7</c:f>
              <c:strCache>
                <c:ptCount val="3"/>
                <c:pt idx="0">
                  <c:v>центральный аппарат</c:v>
                </c:pt>
                <c:pt idx="1">
                  <c:v>территориальные органы</c:v>
                </c:pt>
                <c:pt idx="2">
                  <c:v>учреждения</c:v>
                </c:pt>
              </c:strCache>
            </c:strRef>
          </c:cat>
          <c:val>
            <c:numRef>
              <c:f>'1.14 (1) СМИ '!$S$5:$S$7</c:f>
              <c:numCache>
                <c:formatCode>0.0%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261-4FD8-ABAE-E3517791D68D}"/>
            </c:ext>
          </c:extLst>
        </c:ser>
        <c:ser>
          <c:idx val="2"/>
          <c:order val="2"/>
          <c:tx>
            <c:strRef>
              <c:f>'1.14 (1) СМИ '!$T$4</c:f>
              <c:strCache>
                <c:ptCount val="1"/>
                <c:pt idx="0">
                  <c:v>онлайн-трансляции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'1.14 (1) СМИ '!$N$5:$N$7</c:f>
              <c:strCache>
                <c:ptCount val="3"/>
                <c:pt idx="0">
                  <c:v>центральный аппарат</c:v>
                </c:pt>
                <c:pt idx="1">
                  <c:v>территориальные органы</c:v>
                </c:pt>
                <c:pt idx="2">
                  <c:v>учреждения</c:v>
                </c:pt>
              </c:strCache>
            </c:strRef>
          </c:cat>
          <c:val>
            <c:numRef>
              <c:f>'1.14 (1) СМИ '!$T$5:$T$7</c:f>
              <c:numCache>
                <c:formatCode>0.0%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1261-4FD8-ABAE-E3517791D68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614888096"/>
        <c:axId val="614885744"/>
      </c:barChart>
      <c:catAx>
        <c:axId val="61488809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85744"/>
        <c:crosses val="autoZero"/>
        <c:auto val="1"/>
        <c:lblAlgn val="ctr"/>
        <c:lblOffset val="100"/>
        <c:noMultiLvlLbl val="0"/>
      </c:catAx>
      <c:valAx>
        <c:axId val="6148857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88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4107148959621993"/>
          <c:y val="0.29442265616240826"/>
          <c:w val="0.25580161697255949"/>
          <c:h val="0.4291401035254834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5974387576552931"/>
          <c:y val="0.10680664916885389"/>
          <c:w val="0.40829002624671917"/>
          <c:h val="0.68048337707786521"/>
        </c:manualLayout>
      </c:layout>
      <c:pieChart>
        <c:varyColors val="1"/>
        <c:ser>
          <c:idx val="0"/>
          <c:order val="0"/>
          <c:tx>
            <c:strRef>
              <c:f>'1.14 (1) СМИ '!$C$37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4809-48AD-932A-7160EE55C41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4809-48AD-932A-7160EE55C41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4809-48AD-932A-7160EE55C41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'!$A$38:$A$40</c:f>
              <c:strCache>
                <c:ptCount val="3"/>
                <c:pt idx="0">
                  <c:v>центральный аппарат</c:v>
                </c:pt>
                <c:pt idx="1">
                  <c:v>территориальные органы</c:v>
                </c:pt>
                <c:pt idx="2">
                  <c:v>учреждения</c:v>
                </c:pt>
              </c:strCache>
            </c:strRef>
          </c:cat>
          <c:val>
            <c:numRef>
              <c:f>'1.14 (1) СМИ '!$C$38:$C$40</c:f>
              <c:numCache>
                <c:formatCode>0.00%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0C3A-498E-95FE-D77B9F2BF005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63532567804024509"/>
          <c:y val="0.12094852726742489"/>
          <c:w val="0.34601531058617668"/>
          <c:h val="0.6984959171770195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324773100281699"/>
          <c:y val="3.7011334721258386E-2"/>
          <c:w val="0.52983559194984053"/>
          <c:h val="0.88318188193165648"/>
        </c:manualLayout>
      </c:layout>
      <c:pieChart>
        <c:varyColors val="1"/>
        <c:ser>
          <c:idx val="0"/>
          <c:order val="0"/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113B-4BBB-93BF-9D4D7E270B2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113B-4BBB-93BF-9D4D7E270B2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2-3445-470F-B566-1B38717A052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113B-4BBB-93BF-9D4D7E270B24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9-113B-4BBB-93BF-9D4D7E270B24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B-113B-4BBB-93BF-9D4D7E270B24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113B-4BBB-93BF-9D4D7E270B24}"/>
              </c:ext>
            </c:extLst>
          </c:dPt>
          <c:dPt>
            <c:idx val="7"/>
            <c:bubble3D val="0"/>
            <c:spPr>
              <a:solidFill>
                <a:schemeClr val="accent2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F-113B-4BBB-93BF-9D4D7E270B24}"/>
              </c:ext>
            </c:extLst>
          </c:dPt>
          <c:dPt>
            <c:idx val="8"/>
            <c:bubble3D val="0"/>
            <c:spPr>
              <a:solidFill>
                <a:schemeClr val="accent3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1-113B-4BBB-93BF-9D4D7E270B24}"/>
              </c:ext>
            </c:extLst>
          </c:dPt>
          <c:dPt>
            <c:idx val="9"/>
            <c:bubble3D val="0"/>
            <c:spPr>
              <a:solidFill>
                <a:schemeClr val="accent4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3-113B-4BBB-93BF-9D4D7E270B2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'!$A$47:$A$56</c:f>
              <c:strCache>
                <c:ptCount val="10"/>
                <c:pt idx="0">
                  <c:v>VK</c:v>
                </c:pt>
                <c:pt idx="1">
                  <c:v>OK</c:v>
                </c:pt>
                <c:pt idx="2">
                  <c:v>Tik-tok</c:v>
                </c:pt>
                <c:pt idx="3">
                  <c:v>Likee</c:v>
                </c:pt>
                <c:pt idx="4">
                  <c:v>Telegram</c:v>
                </c:pt>
                <c:pt idx="5">
                  <c:v>Twitter</c:v>
                </c:pt>
                <c:pt idx="6">
                  <c:v>Viber</c:v>
                </c:pt>
                <c:pt idx="7">
                  <c:v>VK видео</c:v>
                </c:pt>
                <c:pt idx="8">
                  <c:v>Rutube</c:v>
                </c:pt>
                <c:pt idx="9">
                  <c:v>Яндекс.Дзен</c:v>
                </c:pt>
              </c:strCache>
            </c:strRef>
          </c:cat>
          <c:val>
            <c:numRef>
              <c:f>'1.14 (1) СМИ '!$C$47:$C$56</c:f>
              <c:numCache>
                <c:formatCode>0.00%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445-470F-B566-1B38717A052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2525301531313568"/>
          <c:y val="4.117401702302826E-2"/>
          <c:w val="0.24058472707564349"/>
          <c:h val="0.9171882314155560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1741835692909004"/>
          <c:y val="6.039488966318235E-2"/>
          <c:w val="0.51474614295917531"/>
          <c:h val="0.85946464009072054"/>
        </c:manualLayout>
      </c:layout>
      <c:pieChart>
        <c:varyColors val="1"/>
        <c:ser>
          <c:idx val="0"/>
          <c:order val="0"/>
          <c:tx>
            <c:strRef>
              <c:f>'1.14 (1) СМИ '!$C$60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9E75-4629-85A8-B2341D9ECAC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9E75-4629-85A8-B2341D9ECAC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9E75-4629-85A8-B2341D9ECAC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9E75-4629-85A8-B2341D9ECACF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9-9E75-4629-85A8-B2341D9ECACF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B-9E75-4629-85A8-B2341D9ECACF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9E75-4629-85A8-B2341D9ECACF}"/>
              </c:ext>
            </c:extLst>
          </c:dPt>
          <c:dPt>
            <c:idx val="7"/>
            <c:bubble3D val="0"/>
            <c:spPr>
              <a:solidFill>
                <a:schemeClr val="accent2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F-9E75-4629-85A8-B2341D9ECACF}"/>
              </c:ext>
            </c:extLst>
          </c:dPt>
          <c:dPt>
            <c:idx val="8"/>
            <c:bubble3D val="0"/>
            <c:spPr>
              <a:solidFill>
                <a:schemeClr val="accent3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1-9E75-4629-85A8-B2341D9ECACF}"/>
              </c:ext>
            </c:extLst>
          </c:dPt>
          <c:dPt>
            <c:idx val="9"/>
            <c:bubble3D val="0"/>
            <c:spPr>
              <a:solidFill>
                <a:schemeClr val="accent4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3-9E75-4629-85A8-B2341D9ECAC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'!$A$61:$A$70</c:f>
              <c:strCache>
                <c:ptCount val="10"/>
                <c:pt idx="0">
                  <c:v>VK</c:v>
                </c:pt>
                <c:pt idx="1">
                  <c:v>OK</c:v>
                </c:pt>
                <c:pt idx="2">
                  <c:v>Tik-tok</c:v>
                </c:pt>
                <c:pt idx="3">
                  <c:v>Likee</c:v>
                </c:pt>
                <c:pt idx="4">
                  <c:v>Telegram</c:v>
                </c:pt>
                <c:pt idx="5">
                  <c:v>Twitter</c:v>
                </c:pt>
                <c:pt idx="6">
                  <c:v>Viber</c:v>
                </c:pt>
                <c:pt idx="7">
                  <c:v>VK видео</c:v>
                </c:pt>
                <c:pt idx="8">
                  <c:v>Rutube</c:v>
                </c:pt>
                <c:pt idx="9">
                  <c:v>Яндекс.Дзен</c:v>
                </c:pt>
              </c:strCache>
            </c:strRef>
          </c:cat>
          <c:val>
            <c:numRef>
              <c:f>'1.14 (1) СМИ '!$C$61:$C$70</c:f>
              <c:numCache>
                <c:formatCode>0.00%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E3F3-4B5A-8EC4-E7E0351BA18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5085882419956274"/>
          <c:y val="3.2519227779454395E-2"/>
          <c:w val="0.22449270218518177"/>
          <c:h val="0.9396062077606153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5082706158187084"/>
          <c:y val="8.8146601716539083E-2"/>
          <c:w val="0.4815888947603934"/>
          <c:h val="0.80398869765496428"/>
        </c:manualLayout>
      </c:layout>
      <c:pieChart>
        <c:varyColors val="1"/>
        <c:ser>
          <c:idx val="0"/>
          <c:order val="0"/>
          <c:tx>
            <c:strRef>
              <c:f>'1.14 (1) СМИ '!$C$74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1A6A-438A-8448-DC3010F492E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1A6A-438A-8448-DC3010F492EE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1A6A-438A-8448-DC3010F492EE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1A6A-438A-8448-DC3010F492EE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9-1A6A-438A-8448-DC3010F492EE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B-1A6A-438A-8448-DC3010F492EE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1A6A-438A-8448-DC3010F492EE}"/>
              </c:ext>
            </c:extLst>
          </c:dPt>
          <c:dPt>
            <c:idx val="7"/>
            <c:bubble3D val="0"/>
            <c:spPr>
              <a:solidFill>
                <a:schemeClr val="accent2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F-1A6A-438A-8448-DC3010F492EE}"/>
              </c:ext>
            </c:extLst>
          </c:dPt>
          <c:dPt>
            <c:idx val="8"/>
            <c:bubble3D val="0"/>
            <c:spPr>
              <a:solidFill>
                <a:schemeClr val="accent3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1-1A6A-438A-8448-DC3010F492EE}"/>
              </c:ext>
            </c:extLst>
          </c:dPt>
          <c:dPt>
            <c:idx val="9"/>
            <c:bubble3D val="0"/>
            <c:spPr>
              <a:solidFill>
                <a:schemeClr val="accent4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3-1A6A-438A-8448-DC3010F492E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'!$A$75:$A$84</c:f>
              <c:strCache>
                <c:ptCount val="10"/>
                <c:pt idx="0">
                  <c:v>VK</c:v>
                </c:pt>
                <c:pt idx="1">
                  <c:v>OK</c:v>
                </c:pt>
                <c:pt idx="2">
                  <c:v>Tik-tok</c:v>
                </c:pt>
                <c:pt idx="3">
                  <c:v>Likee</c:v>
                </c:pt>
                <c:pt idx="4">
                  <c:v>Telegram</c:v>
                </c:pt>
                <c:pt idx="5">
                  <c:v>Twitter</c:v>
                </c:pt>
                <c:pt idx="6">
                  <c:v>Viber</c:v>
                </c:pt>
                <c:pt idx="7">
                  <c:v>VK видео</c:v>
                </c:pt>
                <c:pt idx="8">
                  <c:v>Rutube</c:v>
                </c:pt>
                <c:pt idx="9">
                  <c:v>Яндекс.Дзен</c:v>
                </c:pt>
              </c:strCache>
            </c:strRef>
          </c:cat>
          <c:val>
            <c:numRef>
              <c:f>'1.14 (1) СМИ '!$C$75:$C$84</c:f>
              <c:numCache>
                <c:formatCode>0.00%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C4B-4A9C-ACC2-8BAB0E47D124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4776607488465774"/>
          <c:y val="4.3144345996416422E-2"/>
          <c:w val="0.21865409800015101"/>
          <c:h val="0.9243805902132796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999338088157907"/>
          <c:y val="7.4022669442516772E-2"/>
          <c:w val="0.51104561283736982"/>
          <c:h val="0.85079696405055527"/>
        </c:manualLayout>
      </c:layout>
      <c:pieChart>
        <c:varyColors val="1"/>
        <c:ser>
          <c:idx val="0"/>
          <c:order val="0"/>
          <c:tx>
            <c:strRef>
              <c:f>'1.14 (1) СМИ '!$C$88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3782-4E93-BFBA-22891E29A1E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3782-4E93-BFBA-22891E29A1E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3782-4E93-BFBA-22891E29A1E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3782-4E93-BFBA-22891E29A1E9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9-3782-4E93-BFBA-22891E29A1E9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B-3782-4E93-BFBA-22891E29A1E9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3782-4E93-BFBA-22891E29A1E9}"/>
              </c:ext>
            </c:extLst>
          </c:dPt>
          <c:dPt>
            <c:idx val="7"/>
            <c:bubble3D val="0"/>
            <c:spPr>
              <a:solidFill>
                <a:schemeClr val="accent2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F-3782-4E93-BFBA-22891E29A1E9}"/>
              </c:ext>
            </c:extLst>
          </c:dPt>
          <c:dPt>
            <c:idx val="8"/>
            <c:bubble3D val="0"/>
            <c:spPr>
              <a:solidFill>
                <a:schemeClr val="accent3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1-3782-4E93-BFBA-22891E29A1E9}"/>
              </c:ext>
            </c:extLst>
          </c:dPt>
          <c:dPt>
            <c:idx val="9"/>
            <c:bubble3D val="0"/>
            <c:spPr>
              <a:solidFill>
                <a:schemeClr val="accent4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3-3782-4E93-BFBA-22891E29A1E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(1) СМИ '!$A$89:$A$98</c:f>
              <c:strCache>
                <c:ptCount val="10"/>
                <c:pt idx="0">
                  <c:v>VK</c:v>
                </c:pt>
                <c:pt idx="1">
                  <c:v>OK</c:v>
                </c:pt>
                <c:pt idx="2">
                  <c:v>Tik-tok</c:v>
                </c:pt>
                <c:pt idx="3">
                  <c:v>Likee</c:v>
                </c:pt>
                <c:pt idx="4">
                  <c:v>Telegram</c:v>
                </c:pt>
                <c:pt idx="5">
                  <c:v>Twitter</c:v>
                </c:pt>
                <c:pt idx="6">
                  <c:v>Viber</c:v>
                </c:pt>
                <c:pt idx="7">
                  <c:v>VK видео</c:v>
                </c:pt>
                <c:pt idx="8">
                  <c:v>Rutube</c:v>
                </c:pt>
                <c:pt idx="9">
                  <c:v>Яндекс.Дзен</c:v>
                </c:pt>
              </c:strCache>
            </c:strRef>
          </c:cat>
          <c:val>
            <c:numRef>
              <c:f>'1.14 (1) СМИ '!$C$89:$C$98</c:f>
              <c:numCache>
                <c:formatCode>0.00%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AAC-4121-AF60-195BC8F6620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811133028963293"/>
          <c:y val="5.5053267543500158E-2"/>
          <c:w val="0.18530686998847945"/>
          <c:h val="0.9079353977352414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215395234960974"/>
          <c:y val="5.1139005113900508E-2"/>
          <c:w val="0.59717728528609304"/>
          <c:h val="0.73466580275791882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'1.14 (1) СМИ '!$O$27</c:f>
              <c:strCache>
                <c:ptCount val="1"/>
                <c:pt idx="0">
                  <c:v>количество вовлеченных блогеров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cat>
            <c:strRef>
              <c:f>'1.14 (1) СМИ '!$N$28:$N$30</c:f>
              <c:strCache>
                <c:ptCount val="3"/>
                <c:pt idx="0">
                  <c:v>учреждения</c:v>
                </c:pt>
                <c:pt idx="1">
                  <c:v>территориальные органы</c:v>
                </c:pt>
                <c:pt idx="2">
                  <c:v>центральный аппарат</c:v>
                </c:pt>
              </c:strCache>
            </c:strRef>
          </c:cat>
          <c:val>
            <c:numRef>
              <c:f>'1.14 (1) СМИ '!$O$28:$O$30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B129-4177-BE7C-67CC257DC513}"/>
            </c:ext>
          </c:extLst>
        </c:ser>
        <c:ser>
          <c:idx val="1"/>
          <c:order val="1"/>
          <c:tx>
            <c:strRef>
              <c:f>'1.14 (1) СМИ '!$P$27</c:f>
              <c:strCache>
                <c:ptCount val="1"/>
                <c:pt idx="0">
                  <c:v>организовано блог-туров с лидерами мнений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cat>
            <c:strRef>
              <c:f>'1.14 (1) СМИ '!$N$28:$N$30</c:f>
              <c:strCache>
                <c:ptCount val="3"/>
                <c:pt idx="0">
                  <c:v>учреждения</c:v>
                </c:pt>
                <c:pt idx="1">
                  <c:v>территориальные органы</c:v>
                </c:pt>
                <c:pt idx="2">
                  <c:v>центральный аппарат</c:v>
                </c:pt>
              </c:strCache>
            </c:strRef>
          </c:cat>
          <c:val>
            <c:numRef>
              <c:f>'1.14 (1) СМИ '!$P$28:$P$30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B129-4177-BE7C-67CC257DC51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614886528"/>
        <c:axId val="614884568"/>
      </c:barChart>
      <c:catAx>
        <c:axId val="6148865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84568"/>
        <c:crosses val="autoZero"/>
        <c:auto val="1"/>
        <c:lblAlgn val="ctr"/>
        <c:lblOffset val="100"/>
        <c:noMultiLvlLbl val="0"/>
      </c:catAx>
      <c:valAx>
        <c:axId val="61488456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Мероприятия с лидерами мнений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86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82253782773291451"/>
          <c:y val="0.3311245090179627"/>
          <c:w val="0.17359735586784028"/>
          <c:h val="0.3945844635529345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37621981627296586"/>
          <c:y val="5.0996835951203905E-2"/>
          <c:w val="0.41666907261592295"/>
          <c:h val="0.84907369659143017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'1.14 (1) СМИ '!$O$46</c:f>
              <c:strCache>
                <c:ptCount val="1"/>
                <c:pt idx="0">
                  <c:v>учреждения</c:v>
                </c:pt>
              </c:strCache>
            </c:strRef>
          </c:tx>
          <c:spPr>
            <a:solidFill>
              <a:schemeClr val="accent1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'1.14 (1) СМИ '!$N$47:$N$57</c:f>
              <c:strCache>
                <c:ptCount val="11"/>
                <c:pt idx="0">
                  <c:v>аудиовизуальные произведения</c:v>
                </c:pt>
                <c:pt idx="1">
                  <c:v>журналы</c:v>
                </c:pt>
                <c:pt idx="2">
                  <c:v>газеты</c:v>
                </c:pt>
                <c:pt idx="3">
                  <c:v>прочая печатная продукция</c:v>
                </c:pt>
                <c:pt idx="4">
                  <c:v>инфографика</c:v>
                </c:pt>
                <c:pt idx="5">
                  <c:v>листовки</c:v>
                </c:pt>
                <c:pt idx="6">
                  <c:v>ьуклеты</c:v>
                </c:pt>
                <c:pt idx="7">
                  <c:v>брошюры</c:v>
                </c:pt>
                <c:pt idx="8">
                  <c:v>книги</c:v>
                </c:pt>
                <c:pt idx="9">
                  <c:v>фотоальбомы</c:v>
                </c:pt>
                <c:pt idx="10">
                  <c:v>фотовыставки</c:v>
                </c:pt>
              </c:strCache>
            </c:strRef>
          </c:cat>
          <c:val>
            <c:numRef>
              <c:f>'1.14 (1) СМИ '!$O$47:$O$57</c:f>
              <c:numCache>
                <c:formatCode>General</c:formatCode>
                <c:ptCount val="11"/>
                <c:pt idx="0">
                  <c:v>10</c:v>
                </c:pt>
                <c:pt idx="1">
                  <c:v>10</c:v>
                </c:pt>
                <c:pt idx="2">
                  <c:v>10</c:v>
                </c:pt>
                <c:pt idx="3">
                  <c:v>10</c:v>
                </c:pt>
                <c:pt idx="4">
                  <c:v>10</c:v>
                </c:pt>
                <c:pt idx="5">
                  <c:v>10</c:v>
                </c:pt>
                <c:pt idx="6">
                  <c:v>10</c:v>
                </c:pt>
                <c:pt idx="7">
                  <c:v>10</c:v>
                </c:pt>
                <c:pt idx="8">
                  <c:v>10</c:v>
                </c:pt>
                <c:pt idx="9">
                  <c:v>10</c:v>
                </c:pt>
                <c:pt idx="10">
                  <c:v>10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7759-4352-9D11-6A9ED24C9065}"/>
            </c:ext>
          </c:extLst>
        </c:ser>
        <c:ser>
          <c:idx val="1"/>
          <c:order val="1"/>
          <c:tx>
            <c:strRef>
              <c:f>'1.14 (1) СМИ '!$P$46</c:f>
              <c:strCache>
                <c:ptCount val="1"/>
                <c:pt idx="0">
                  <c:v>территориальные органы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cat>
            <c:strRef>
              <c:f>'1.14 (1) СМИ '!$N$47:$N$57</c:f>
              <c:strCache>
                <c:ptCount val="11"/>
                <c:pt idx="0">
                  <c:v>аудиовизуальные произведения</c:v>
                </c:pt>
                <c:pt idx="1">
                  <c:v>журналы</c:v>
                </c:pt>
                <c:pt idx="2">
                  <c:v>газеты</c:v>
                </c:pt>
                <c:pt idx="3">
                  <c:v>прочая печатная продукция</c:v>
                </c:pt>
                <c:pt idx="4">
                  <c:v>инфографика</c:v>
                </c:pt>
                <c:pt idx="5">
                  <c:v>листовки</c:v>
                </c:pt>
                <c:pt idx="6">
                  <c:v>ьуклеты</c:v>
                </c:pt>
                <c:pt idx="7">
                  <c:v>брошюры</c:v>
                </c:pt>
                <c:pt idx="8">
                  <c:v>книги</c:v>
                </c:pt>
                <c:pt idx="9">
                  <c:v>фотоальбомы</c:v>
                </c:pt>
                <c:pt idx="10">
                  <c:v>фотовыставки</c:v>
                </c:pt>
              </c:strCache>
            </c:strRef>
          </c:cat>
          <c:val>
            <c:numRef>
              <c:f>'1.14 (1) СМИ '!$P$47:$P$57</c:f>
              <c:numCache>
                <c:formatCode>General</c:formatCode>
                <c:ptCount val="11"/>
                <c:pt idx="0">
                  <c:v>20</c:v>
                </c:pt>
                <c:pt idx="1">
                  <c:v>20</c:v>
                </c:pt>
                <c:pt idx="2">
                  <c:v>20</c:v>
                </c:pt>
                <c:pt idx="3">
                  <c:v>20</c:v>
                </c:pt>
                <c:pt idx="4">
                  <c:v>20</c:v>
                </c:pt>
                <c:pt idx="5">
                  <c:v>20</c:v>
                </c:pt>
                <c:pt idx="6">
                  <c:v>20</c:v>
                </c:pt>
                <c:pt idx="7">
                  <c:v>20</c:v>
                </c:pt>
                <c:pt idx="8">
                  <c:v>20</c:v>
                </c:pt>
                <c:pt idx="9">
                  <c:v>20</c:v>
                </c:pt>
                <c:pt idx="10">
                  <c:v>20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7759-4352-9D11-6A9ED24C9065}"/>
            </c:ext>
          </c:extLst>
        </c:ser>
        <c:ser>
          <c:idx val="2"/>
          <c:order val="2"/>
          <c:tx>
            <c:strRef>
              <c:f>'1.14 (1) СМИ '!$Q$46</c:f>
              <c:strCache>
                <c:ptCount val="1"/>
                <c:pt idx="0">
                  <c:v>центральный аппарат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cat>
            <c:strRef>
              <c:f>'1.14 (1) СМИ '!$N$47:$N$57</c:f>
              <c:strCache>
                <c:ptCount val="11"/>
                <c:pt idx="0">
                  <c:v>аудиовизуальные произведения</c:v>
                </c:pt>
                <c:pt idx="1">
                  <c:v>журналы</c:v>
                </c:pt>
                <c:pt idx="2">
                  <c:v>газеты</c:v>
                </c:pt>
                <c:pt idx="3">
                  <c:v>прочая печатная продукция</c:v>
                </c:pt>
                <c:pt idx="4">
                  <c:v>инфографика</c:v>
                </c:pt>
                <c:pt idx="5">
                  <c:v>листовки</c:v>
                </c:pt>
                <c:pt idx="6">
                  <c:v>ьуклеты</c:v>
                </c:pt>
                <c:pt idx="7">
                  <c:v>брошюры</c:v>
                </c:pt>
                <c:pt idx="8">
                  <c:v>книги</c:v>
                </c:pt>
                <c:pt idx="9">
                  <c:v>фотоальбомы</c:v>
                </c:pt>
                <c:pt idx="10">
                  <c:v>фотовыставки</c:v>
                </c:pt>
              </c:strCache>
            </c:strRef>
          </c:cat>
          <c:val>
            <c:numRef>
              <c:f>'1.14 (1) СМИ '!$Q$47:$Q$57</c:f>
              <c:numCache>
                <c:formatCode>General</c:formatCode>
                <c:ptCount val="11"/>
                <c:pt idx="0">
                  <c:v>25</c:v>
                </c:pt>
                <c:pt idx="1">
                  <c:v>25</c:v>
                </c:pt>
                <c:pt idx="2">
                  <c:v>25</c:v>
                </c:pt>
                <c:pt idx="3">
                  <c:v>25</c:v>
                </c:pt>
                <c:pt idx="4">
                  <c:v>25</c:v>
                </c:pt>
                <c:pt idx="5">
                  <c:v>25</c:v>
                </c:pt>
                <c:pt idx="6">
                  <c:v>25</c:v>
                </c:pt>
                <c:pt idx="7">
                  <c:v>25</c:v>
                </c:pt>
                <c:pt idx="8">
                  <c:v>25</c:v>
                </c:pt>
                <c:pt idx="9">
                  <c:v>25</c:v>
                </c:pt>
                <c:pt idx="10">
                  <c:v>25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7759-4352-9D11-6A9ED24C90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614886920"/>
        <c:axId val="614894368"/>
      </c:barChart>
      <c:catAx>
        <c:axId val="61488692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4368"/>
        <c:crosses val="autoZero"/>
        <c:auto val="1"/>
        <c:lblAlgn val="ctr"/>
        <c:lblOffset val="100"/>
        <c:noMultiLvlLbl val="0"/>
      </c:catAx>
      <c:valAx>
        <c:axId val="61489436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Количество полиграфической продукции и аудиовизульных произведений</a:t>
                </a:r>
              </a:p>
            </c:rich>
          </c:tx>
          <c:layout>
            <c:manualLayout>
              <c:xMode val="edge"/>
              <c:yMode val="edge"/>
              <c:x val="0.16879576792963746"/>
              <c:y val="0.94174638874294814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8692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6310345581802275"/>
          <c:y val="0.52983803839855514"/>
          <c:w val="0.23212642169728784"/>
          <c:h val="0.2796416125504753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31420581802274716"/>
          <c:y val="4.0954878980824498E-2"/>
          <c:w val="0.64257195975503067"/>
          <c:h val="0.46106253630389948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'1.14 (1) СМИ '!$O$90</c:f>
              <c:strCache>
                <c:ptCount val="1"/>
                <c:pt idx="0">
                  <c:v>в аудиоформате</c:v>
                </c:pt>
              </c:strCache>
            </c:strRef>
          </c:tx>
          <c:spPr>
            <a:solidFill>
              <a:schemeClr val="tx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'1.14 (1) СМИ '!$N$91:$N$92</c:f>
              <c:strCache>
                <c:ptCount val="2"/>
                <c:pt idx="0">
                  <c:v>центральный аппарат</c:v>
                </c:pt>
                <c:pt idx="1">
                  <c:v>территориальные органы</c:v>
                </c:pt>
              </c:strCache>
            </c:strRef>
          </c:cat>
          <c:val>
            <c:numRef>
              <c:f>'1.14 (1) СМИ '!$O$91:$O$92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EBCC-4ED5-B278-790C6A878809}"/>
            </c:ext>
          </c:extLst>
        </c:ser>
        <c:ser>
          <c:idx val="1"/>
          <c:order val="1"/>
          <c:tx>
            <c:strRef>
              <c:f>'1.14 (1) СМИ '!$P$90</c:f>
              <c:strCache>
                <c:ptCount val="1"/>
                <c:pt idx="0">
                  <c:v>в видеоформате</c:v>
                </c:pt>
              </c:strCache>
            </c:strRef>
          </c:tx>
          <c:spPr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'1.14 (1) СМИ '!$N$91:$N$92</c:f>
              <c:strCache>
                <c:ptCount val="2"/>
                <c:pt idx="0">
                  <c:v>центральный аппарат</c:v>
                </c:pt>
                <c:pt idx="1">
                  <c:v>территориальные органы</c:v>
                </c:pt>
              </c:strCache>
            </c:strRef>
          </c:cat>
          <c:val>
            <c:numRef>
              <c:f>'1.14 (1) СМИ '!$P$91:$P$92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EBCC-4ED5-B278-790C6A878809}"/>
            </c:ext>
          </c:extLst>
        </c:ser>
        <c:ser>
          <c:idx val="2"/>
          <c:order val="2"/>
          <c:tx>
            <c:strRef>
              <c:f>'1.14 (1) СМИ '!$Q$90</c:f>
              <c:strCache>
                <c:ptCount val="1"/>
                <c:pt idx="0">
                  <c:v>распостранено комментарие и (или) интервью (всего)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'1.14 (1) СМИ '!$N$91:$N$92</c:f>
              <c:strCache>
                <c:ptCount val="2"/>
                <c:pt idx="0">
                  <c:v>центральный аппарат</c:v>
                </c:pt>
                <c:pt idx="1">
                  <c:v>территориальные органы</c:v>
                </c:pt>
              </c:strCache>
            </c:strRef>
          </c:cat>
          <c:val>
            <c:numRef>
              <c:f>'1.14 (1) СМИ '!$Q$91:$Q$92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EBCC-4ED5-B278-790C6A878809}"/>
            </c:ext>
          </c:extLst>
        </c:ser>
        <c:ser>
          <c:idx val="3"/>
          <c:order val="3"/>
          <c:tx>
            <c:strRef>
              <c:f>'1.14 (1) СМИ '!$R$90</c:f>
              <c:strCache>
                <c:ptCount val="1"/>
                <c:pt idx="0">
                  <c:v>распостранено пресс-релизов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'1.14 (1) СМИ '!$N$91:$N$92</c:f>
              <c:strCache>
                <c:ptCount val="2"/>
                <c:pt idx="0">
                  <c:v>центральный аппарат</c:v>
                </c:pt>
                <c:pt idx="1">
                  <c:v>территориальные органы</c:v>
                </c:pt>
              </c:strCache>
            </c:strRef>
          </c:cat>
          <c:val>
            <c:numRef>
              <c:f>'1.14 (1) СМИ '!$R$91:$R$92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EBCC-4ED5-B278-790C6A87880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614893192"/>
        <c:axId val="614883784"/>
      </c:barChart>
      <c:catAx>
        <c:axId val="614893192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83784"/>
        <c:crosses val="autoZero"/>
        <c:auto val="1"/>
        <c:lblAlgn val="ctr"/>
        <c:lblOffset val="100"/>
        <c:noMultiLvlLbl val="0"/>
      </c:catAx>
      <c:valAx>
        <c:axId val="61488378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31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0364785651793529"/>
          <c:y val="0.63239163461747039"/>
          <c:w val="0.598259842519685"/>
          <c:h val="0.3648699567205296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31420581802274716"/>
          <c:y val="5.0961315728515172E-2"/>
          <c:w val="0.47590529308836393"/>
          <c:h val="0.73558774228968427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'1.14 (1) СМИ '!$B$103</c:f>
              <c:strCache>
                <c:ptCount val="1"/>
                <c:pt idx="0">
                  <c:v>социальные сети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cat>
            <c:strRef>
              <c:f>'1.14 (1) СМИ '!$A$104:$A$105</c:f>
              <c:strCache>
                <c:ptCount val="2"/>
                <c:pt idx="0">
                  <c:v>территориальные органы</c:v>
                </c:pt>
                <c:pt idx="1">
                  <c:v>центральный аппарат</c:v>
                </c:pt>
              </c:strCache>
            </c:strRef>
          </c:cat>
          <c:val>
            <c:numRef>
              <c:f>'1.14 (1) СМИ '!$B$104:$B$105</c:f>
              <c:numCache>
                <c:formatCode>General</c:formatCode>
                <c:ptCount val="2"/>
                <c:pt idx="0">
                  <c:v>10</c:v>
                </c:pt>
                <c:pt idx="1">
                  <c:v>15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0147-4595-8384-F97EE857B469}"/>
            </c:ext>
          </c:extLst>
        </c:ser>
        <c:ser>
          <c:idx val="1"/>
          <c:order val="1"/>
          <c:tx>
            <c:strRef>
              <c:f>'1.14 (1) СМИ '!$C$103</c:f>
              <c:strCache>
                <c:ptCount val="1"/>
                <c:pt idx="0">
                  <c:v>СМИ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cat>
            <c:strRef>
              <c:f>'1.14 (1) СМИ '!$A$104:$A$105</c:f>
              <c:strCache>
                <c:ptCount val="2"/>
                <c:pt idx="0">
                  <c:v>территориальные органы</c:v>
                </c:pt>
                <c:pt idx="1">
                  <c:v>центральный аппарат</c:v>
                </c:pt>
              </c:strCache>
            </c:strRef>
          </c:cat>
          <c:val>
            <c:numRef>
              <c:f>'1.14 (1) СМИ '!$C$104:$C$105</c:f>
              <c:numCache>
                <c:formatCode>General</c:formatCode>
                <c:ptCount val="2"/>
                <c:pt idx="0">
                  <c:v>15</c:v>
                </c:pt>
                <c:pt idx="1">
                  <c:v>10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0147-4595-8384-F97EE857B46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614890840"/>
        <c:axId val="614891232"/>
      </c:barChart>
      <c:catAx>
        <c:axId val="6148908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1232"/>
        <c:crosses val="autoZero"/>
        <c:auto val="1"/>
        <c:lblAlgn val="ctr"/>
        <c:lblOffset val="100"/>
        <c:noMultiLvlLbl val="0"/>
      </c:catAx>
      <c:valAx>
        <c:axId val="6148912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08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81374759405074359"/>
          <c:y val="0.48169970761993874"/>
          <c:w val="0.16139370078740156"/>
          <c:h val="0.1847353167025073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31420581802274716"/>
          <c:y val="5.0961315728515172E-2"/>
          <c:w val="0.47590529308836393"/>
          <c:h val="0.73558774228968427"/>
        </c:manualLayout>
      </c:layout>
      <c:barChart>
        <c:barDir val="bar"/>
        <c:grouping val="clustered"/>
        <c:varyColors val="0"/>
        <c:ser>
          <c:idx val="0"/>
          <c:order val="0"/>
          <c:spPr>
            <a:solidFill>
              <a:schemeClr val="tx2"/>
            </a:solidFill>
            <a:ln>
              <a:noFill/>
            </a:ln>
            <a:effectLst/>
          </c:spPr>
          <c:invertIfNegative val="0"/>
          <c:val>
            <c:numRef>
              <c:f>'1.14 (2) Обращения'!#REF!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0147-4595-8384-F97EE857B469}"/>
            </c:ex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'1.14 (2) Обращения'!#REF!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'1.14 (2) Обращения'!#REF!</c15:sqref>
                        </c15:formulaRef>
                      </c:ext>
                    </c:extLst>
                  </c:strRef>
                </c15:cat>
              </c15:filteredCategoryTitle>
            </c:ext>
          </c:extLst>
        </c:ser>
        <c:ser>
          <c:idx val="1"/>
          <c:order val="1"/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'1.14 (2) Обращения'!#REF!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0147-4595-8384-F97EE857B469}"/>
            </c:ex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'1.14 (2) Обращения'!#REF!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'1.14 (2) Обращения'!#REF!</c15:sqref>
                        </c15:formulaRef>
                      </c:ext>
                    </c:extLst>
                  </c:strRef>
                </c15:cat>
              </c15:filteredCategoryTitle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718032528"/>
        <c:axId val="718031352"/>
      </c:barChart>
      <c:catAx>
        <c:axId val="7180325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18031352"/>
        <c:crosses val="autoZero"/>
        <c:auto val="1"/>
        <c:lblAlgn val="ctr"/>
        <c:lblOffset val="100"/>
        <c:noMultiLvlLbl val="0"/>
      </c:catAx>
      <c:valAx>
        <c:axId val="7180313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18032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81374759405074359"/>
          <c:y val="0.48169970761993874"/>
          <c:w val="0.16139370078740156"/>
          <c:h val="0.1847353167025073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7297900262467192"/>
          <c:y val="5.3029378520896855E-2"/>
          <c:w val="0.62070888013998238"/>
          <c:h val="0.31948477261367059"/>
        </c:manualLayout>
      </c:layout>
      <c:pieChart>
        <c:varyColors val="1"/>
        <c:ser>
          <c:idx val="0"/>
          <c:order val="0"/>
          <c:tx>
            <c:strRef>
              <c:f>'1.14 (2) Обращения'!$C$5</c:f>
              <c:strCache>
                <c:ptCount val="1"/>
                <c:pt idx="0">
                  <c:v>Доля, %</c:v>
                </c:pt>
              </c:strCache>
            </c:strRef>
          </c:tx>
          <c:explosion val="5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3C7F-4118-BE36-3ED148ABDBE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3C7F-4118-BE36-3ED148ABDBE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3C7F-4118-BE36-3ED148ABDBEC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3C7F-4118-BE36-3ED148ABDBEC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9-3C7F-4118-BE36-3ED148ABDBEC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B-3C7F-4118-BE36-3ED148ABDBEC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3C7F-4118-BE36-3ED148ABDBEC}"/>
              </c:ext>
            </c:extLst>
          </c:dPt>
          <c:dPt>
            <c:idx val="7"/>
            <c:bubble3D val="0"/>
            <c:spPr>
              <a:solidFill>
                <a:schemeClr val="accent2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F-3C7F-4118-BE36-3ED148ABDBEC}"/>
              </c:ext>
            </c:extLst>
          </c:dPt>
          <c:dPt>
            <c:idx val="8"/>
            <c:bubble3D val="0"/>
            <c:spPr>
              <a:solidFill>
                <a:schemeClr val="accent3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1-3C7F-4118-BE36-3ED148ABDBEC}"/>
              </c:ext>
            </c:extLst>
          </c:dPt>
          <c:dPt>
            <c:idx val="9"/>
            <c:bubble3D val="0"/>
            <c:spPr>
              <a:solidFill>
                <a:schemeClr val="accent4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3-3C7F-4118-BE36-3ED148ABDBEC}"/>
              </c:ext>
            </c:extLst>
          </c:dPt>
          <c:dPt>
            <c:idx val="10"/>
            <c:bubble3D val="0"/>
            <c:spPr>
              <a:solidFill>
                <a:schemeClr val="accent5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5-3C7F-4118-BE36-3ED148ABDBEC}"/>
              </c:ext>
            </c:extLst>
          </c:dPt>
          <c:dPt>
            <c:idx val="11"/>
            <c:bubble3D val="0"/>
            <c:spPr>
              <a:solidFill>
                <a:schemeClr val="accent6">
                  <a:lumMod val="6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7-3C7F-4118-BE36-3ED148ABDBEC}"/>
              </c:ext>
            </c:extLst>
          </c:dPt>
          <c:dPt>
            <c:idx val="12"/>
            <c:bubble3D val="0"/>
            <c:spPr>
              <a:solidFill>
                <a:schemeClr val="accent1">
                  <a:lumMod val="80000"/>
                  <a:lumOff val="2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9-3C7F-4118-BE36-3ED148ABDBEC}"/>
              </c:ext>
            </c:extLst>
          </c:dPt>
          <c:dPt>
            <c:idx val="13"/>
            <c:bubble3D val="0"/>
            <c:spPr>
              <a:solidFill>
                <a:schemeClr val="accent2">
                  <a:lumMod val="80000"/>
                  <a:lumOff val="2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B-3C7F-4118-BE36-3ED148ABDBEC}"/>
              </c:ext>
            </c:extLst>
          </c:dPt>
          <c:dPt>
            <c:idx val="14"/>
            <c:bubble3D val="0"/>
            <c:spPr>
              <a:solidFill>
                <a:schemeClr val="accent3">
                  <a:lumMod val="80000"/>
                  <a:lumOff val="2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D-3C7F-4118-BE36-3ED148ABDBEC}"/>
              </c:ext>
            </c:extLst>
          </c:dPt>
          <c:dPt>
            <c:idx val="15"/>
            <c:bubble3D val="0"/>
            <c:spPr>
              <a:solidFill>
                <a:schemeClr val="accent4">
                  <a:lumMod val="80000"/>
                  <a:lumOff val="2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F-3C7F-4118-BE36-3ED148ABDBEC}"/>
              </c:ext>
            </c:extLst>
          </c:dPt>
          <c:dPt>
            <c:idx val="16"/>
            <c:bubble3D val="0"/>
            <c:spPr>
              <a:solidFill>
                <a:schemeClr val="accent5">
                  <a:lumMod val="80000"/>
                  <a:lumOff val="2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21-3C7F-4118-BE36-3ED148ABDBE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'1.14 (2) Обращения'!$A$6:$A$22</c:f>
              <c:strCache>
                <c:ptCount val="17"/>
                <c:pt idx="0">
                  <c:v>работа пропивопожарной служды и соблюдение требований пожарной безопасности</c:v>
                </c:pt>
                <c:pt idx="1">
                  <c:v>деятельность ГИМС</c:v>
                </c:pt>
                <c:pt idx="2">
                  <c:v>запросы архивных данных</c:v>
                </c:pt>
                <c:pt idx="3">
                  <c:v>вопросы, связанные с рассмотрением обращений граждан (прекращение рассмотрения обращения, результаты рассмотрения обращения, благодарности, ознакомление с документами и материалами касающимися рассмотрения обращения</c:v>
                </c:pt>
                <c:pt idx="4">
                  <c:v>предупреждение и преодоление ЧС</c:v>
                </c:pt>
                <c:pt idx="5">
                  <c:v>деятельность и принимаемые решения МЧС России (отдельные вопросы касающиеся деятельности МЧС России)</c:v>
                </c:pt>
                <c:pt idx="6">
                  <c:v>комунальное хозяйство (содержание общего имущества, ограждающие конструкции, места общего пользования, придомовая территория)</c:v>
                </c:pt>
                <c:pt idx="7">
                  <c:v>трудовые отношения (трудоустройство, выплата зарплаты, заключение/прекращение трудового контракта/договора</c:v>
                </c:pt>
                <c:pt idx="8">
                  <c:v>признание участником ликвидации, выдача удостоверений, социальная защитапострадавших от радиактивного заражения (ЧАЭС, Семипалатинский полигон, ПО "Маяк", подразделение особого риска и т.п.)</c:v>
                </c:pt>
                <c:pt idx="9">
                  <c:v>гражданская оборона (содержание и обслуживание ЗСГО)</c:v>
                </c:pt>
                <c:pt idx="10">
                  <c:v>о возможных фактах коррупции, противоправного поведения сотрудников и обжалование действий (бездействий) должностных лиц МЧС России)</c:v>
                </c:pt>
                <c:pt idx="11">
                  <c:v>жилищные вопросы (предоставление субсидий, ЕСВ, ГЖС, служебного жилья, выселение)</c:v>
                </c:pt>
                <c:pt idx="12">
                  <c:v>законодательтсво РФ (вопросы по нормативному регулированию, законодательной и нициативе своего ведения, исполнения судебных решений)</c:v>
                </c:pt>
                <c:pt idx="13">
                  <c:v>прохождение службы (прохождение военной, государственной службы, продление контракта, увольнение со службы, награждение государственными наградами)</c:v>
                </c:pt>
                <c:pt idx="14">
                  <c:v>лечение, оказание медецинской помощи, санитарная эвакуация пострадавших. Безопасность туризма</c:v>
                </c:pt>
                <c:pt idx="15">
                  <c:v>образование</c:v>
                </c:pt>
                <c:pt idx="16">
                  <c:v>предложения по внедрению новых иноваций в области тушения пожаров, проведению поиского-спасательных работ</c:v>
                </c:pt>
              </c:strCache>
            </c:strRef>
          </c:cat>
          <c:val>
            <c:numRef>
              <c:f>'1.14 (2) Обращения'!$C$6:$C$22</c:f>
              <c:numCache>
                <c:formatCode>0.0%</c:formatCode>
                <c:ptCount val="1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24D-4509-B757-6F10C930E063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6.1178258967629046E-2"/>
          <c:y val="0.39132851796980189"/>
          <c:w val="0.88319881889763785"/>
          <c:h val="0.5514968898799640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5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ru-RU"/>
              <a:t>Количество</a:t>
            </a:r>
            <a:r>
              <a:rPr lang="ru-RU" baseline="0"/>
              <a:t> привлечений</a:t>
            </a:r>
            <a:endParaRPr lang="ru-RU"/>
          </a:p>
        </c:rich>
      </c:tx>
      <c:layout/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0.15317891513560805"/>
          <c:y val="0.14744583581792883"/>
          <c:w val="0.81626552930883645"/>
          <c:h val="0.41159738753586028"/>
        </c:manualLayout>
      </c:layout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5"/>
            <c:invertIfNegative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1-083B-4555-B9E0-8F91E4F65A4C}"/>
              </c:ext>
            </c:extLst>
          </c:dPt>
          <c:dLbls>
            <c:dLbl>
              <c:idx val="0"/>
              <c:layout>
                <c:manualLayout>
                  <c:x val="-1.9444444444444459E-2"/>
                  <c:y val="1.4792738896464715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4-083B-4555-B9E0-8F91E4F65A4C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"/>
              <c:layout>
                <c:manualLayout>
                  <c:x val="-1.388888888888894E-2"/>
                  <c:y val="1.120837548937667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5-083B-4555-B9E0-8F91E4F65A4C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2"/>
              <c:layout>
                <c:manualLayout>
                  <c:x val="-1.1111111111111112E-2"/>
                  <c:y val="1.923451956773559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6-083B-4555-B9E0-8F91E4F65A4C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3"/>
              <c:layout>
                <c:manualLayout>
                  <c:x val="0"/>
                  <c:y val="5.0730215985571635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7-083B-4555-B9E0-8F91E4F65A4C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4"/>
              <c:layout>
                <c:manualLayout>
                  <c:x val="8.3333333333332309E-3"/>
                  <c:y val="1.038028416838956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8-083B-4555-B9E0-8F91E4F65A4C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5"/>
              <c:layout>
                <c:manualLayout>
                  <c:x val="-1.6666666666666767E-2"/>
                  <c:y val="1.34395096856184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083B-4555-B9E0-8F91E4F65A4C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('1.15 ПАСФ'!$B$5:$B$9,'1.15 ПАСФ'!$B$11)</c:f>
              <c:strCache>
                <c:ptCount val="6"/>
                <c:pt idx="0">
                  <c:v>на бытовые проишествия</c:v>
                </c:pt>
                <c:pt idx="1">
                  <c:v>на техногенные, в т.ч ДТП</c:v>
                </c:pt>
                <c:pt idx="2">
                  <c:v>на ПСР на водных объектах</c:v>
                </c:pt>
                <c:pt idx="3">
                  <c:v>на ПСР в лесах и горах</c:v>
                </c:pt>
                <c:pt idx="4">
                  <c:v>на ложные вызовы</c:v>
                </c:pt>
                <c:pt idx="5">
                  <c:v>Спасенных</c:v>
                </c:pt>
              </c:strCache>
            </c:strRef>
          </c:cat>
          <c:val>
            <c:numRef>
              <c:f>('1.15 ПАСФ'!$C$5:$C$9,'1.15 ПАСФ'!$C$11)</c:f>
              <c:numCache>
                <c:formatCode>General</c:formatCode>
                <c:ptCount val="6"/>
                <c:pt idx="0">
                  <c:v>10022</c:v>
                </c:pt>
                <c:pt idx="1">
                  <c:v>3507</c:v>
                </c:pt>
                <c:pt idx="2">
                  <c:v>1984</c:v>
                </c:pt>
                <c:pt idx="3">
                  <c:v>1870</c:v>
                </c:pt>
                <c:pt idx="4">
                  <c:v>589</c:v>
                </c:pt>
                <c:pt idx="5">
                  <c:v>8845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9-083B-4555-B9E0-8F91E4F65A4C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Pt>
            <c:idx val="5"/>
            <c:invertIfNegative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B-083B-4555-B9E0-8F91E4F65A4C}"/>
              </c:ext>
            </c:extLst>
          </c:dPt>
          <c:dLbls>
            <c:dLbl>
              <c:idx val="0"/>
              <c:layout>
                <c:manualLayout>
                  <c:x val="8.3333333333333072E-3"/>
                  <c:y val="1.287262276572961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E-083B-4555-B9E0-8F91E4F65A4C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8.3333333333332829E-3"/>
                  <c:y val="1.287262276572970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F-083B-4555-B9E0-8F91E4F65A4C}"/>
                </c:ext>
                <c:ext xmlns:c15="http://schemas.microsoft.com/office/drawing/2012/chart" uri="{CE6537A1-D6FC-4f65-9D91-7224C49458BB}"/>
              </c:extLst>
            </c:dLbl>
            <c:dLbl>
              <c:idx val="2"/>
              <c:layout>
                <c:manualLayout>
                  <c:x val="5.5555555555555558E-3"/>
                  <c:y val="1.752811624803882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10-083B-4555-B9E0-8F91E4F65A4C}"/>
                </c:ext>
                <c:ext xmlns:c15="http://schemas.microsoft.com/office/drawing/2012/chart" uri="{CE6537A1-D6FC-4f65-9D91-7224C49458BB}"/>
              </c:extLst>
            </c:dLbl>
            <c:dLbl>
              <c:idx val="3"/>
              <c:layout>
                <c:manualLayout>
                  <c:x val="1.1111111111111009E-2"/>
                  <c:y val="1.991524802416457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11-083B-4555-B9E0-8F91E4F65A4C}"/>
                </c:ext>
                <c:ext xmlns:c15="http://schemas.microsoft.com/office/drawing/2012/chart" uri="{CE6537A1-D6FC-4f65-9D91-7224C49458BB}"/>
              </c:extLst>
            </c:dLbl>
            <c:dLbl>
              <c:idx val="4"/>
              <c:layout>
                <c:manualLayout>
                  <c:x val="8.3333333333334356E-3"/>
                  <c:y val="1.461311749439141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12-083B-4555-B9E0-8F91E4F65A4C}"/>
                </c:ext>
                <c:ext xmlns:c15="http://schemas.microsoft.com/office/drawing/2012/chart" uri="{CE6537A1-D6FC-4f65-9D91-7224C49458BB}"/>
              </c:extLst>
            </c:dLbl>
            <c:dLbl>
              <c:idx val="5"/>
              <c:layout>
                <c:manualLayout>
                  <c:x val="1.3888888888888788E-2"/>
                  <c:y val="1.49673598492495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B-083B-4555-B9E0-8F91E4F65A4C}"/>
                </c:ext>
                <c:ext xmlns:c15="http://schemas.microsoft.com/office/drawing/2012/chart" uri="{CE6537A1-D6FC-4f65-9D91-7224C49458BB}"/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('1.15 ПАСФ'!$B$5:$B$9,'1.15 ПАСФ'!$B$11)</c:f>
              <c:strCache>
                <c:ptCount val="6"/>
                <c:pt idx="0">
                  <c:v>на бытовые проишествия</c:v>
                </c:pt>
                <c:pt idx="1">
                  <c:v>на техногенные, в т.ч ДТП</c:v>
                </c:pt>
                <c:pt idx="2">
                  <c:v>на ПСР на водных объектах</c:v>
                </c:pt>
                <c:pt idx="3">
                  <c:v>на ПСР в лесах и горах</c:v>
                </c:pt>
                <c:pt idx="4">
                  <c:v>на ложные вызовы</c:v>
                </c:pt>
                <c:pt idx="5">
                  <c:v>Спасенных</c:v>
                </c:pt>
              </c:strCache>
            </c:strRef>
          </c:cat>
          <c:val>
            <c:numRef>
              <c:f>('1.15 ПАСФ'!$D$5:$D$9,'1.15 ПАСФ'!$D$11)</c:f>
              <c:numCache>
                <c:formatCode>General</c:formatCode>
                <c:ptCount val="6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13-083B-4555-B9E0-8F91E4F65A4C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889664"/>
        <c:axId val="614890056"/>
      </c:barChart>
      <c:catAx>
        <c:axId val="6148896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0056"/>
        <c:crosses val="autoZero"/>
        <c:auto val="1"/>
        <c:lblAlgn val="ctr"/>
        <c:lblOffset val="100"/>
        <c:tickLblSkip val="1"/>
        <c:noMultiLvlLbl val="0"/>
      </c:catAx>
      <c:valAx>
        <c:axId val="6148900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896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('1.16 СВФ'!$B$5:$B$9,'1.16 СВФ'!$B$11)</c:f>
              <c:strCache>
                <c:ptCount val="6"/>
                <c:pt idx="0">
                  <c:v>   на прочие проишествия</c:v>
                </c:pt>
                <c:pt idx="1">
                  <c:v>   на бытовые проишествия</c:v>
                </c:pt>
                <c:pt idx="2">
                  <c:v>   на техногенные пожары</c:v>
                </c:pt>
                <c:pt idx="3">
                  <c:v>   на ДТП</c:v>
                </c:pt>
                <c:pt idx="4">
                  <c:v>   на ПСР</c:v>
                </c:pt>
                <c:pt idx="5">
                  <c:v>Оказана помощь</c:v>
                </c:pt>
              </c:strCache>
            </c:strRef>
          </c:cat>
          <c:val>
            <c:numRef>
              <c:f>('1.16 СВФ'!$C$5:$C$9,'1.16 СВФ'!$C$11)</c:f>
              <c:numCache>
                <c:formatCode>General</c:formatCode>
                <c:ptCount val="6"/>
                <c:pt idx="0">
                  <c:v>1176</c:v>
                </c:pt>
                <c:pt idx="1">
                  <c:v>892</c:v>
                </c:pt>
                <c:pt idx="2">
                  <c:v>414</c:v>
                </c:pt>
                <c:pt idx="3">
                  <c:v>185</c:v>
                </c:pt>
                <c:pt idx="4">
                  <c:v>55</c:v>
                </c:pt>
                <c:pt idx="5">
                  <c:v>722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166-4649-BE63-AF039E8FB24E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('1.16 СВФ'!$B$5:$B$9,'1.16 СВФ'!$B$11)</c:f>
              <c:strCache>
                <c:ptCount val="6"/>
                <c:pt idx="0">
                  <c:v>   на прочие проишествия</c:v>
                </c:pt>
                <c:pt idx="1">
                  <c:v>   на бытовые проишествия</c:v>
                </c:pt>
                <c:pt idx="2">
                  <c:v>   на техногенные пожары</c:v>
                </c:pt>
                <c:pt idx="3">
                  <c:v>   на ДТП</c:v>
                </c:pt>
                <c:pt idx="4">
                  <c:v>   на ПСР</c:v>
                </c:pt>
                <c:pt idx="5">
                  <c:v>Оказана помощь</c:v>
                </c:pt>
              </c:strCache>
            </c:strRef>
          </c:cat>
          <c:val>
            <c:numRef>
              <c:f>('1.16 СВФ'!$D$5:$D$9,'1.16 СВФ'!$D$11)</c:f>
              <c:numCache>
                <c:formatCode>General</c:formatCode>
                <c:ptCount val="6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166-4649-BE63-AF039E8FB24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892016"/>
        <c:axId val="614905344"/>
      </c:barChart>
      <c:catAx>
        <c:axId val="6148920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5344"/>
        <c:crosses val="autoZero"/>
        <c:auto val="1"/>
        <c:lblAlgn val="ctr"/>
        <c:lblOffset val="100"/>
        <c:noMultiLvlLbl val="0"/>
      </c:catAx>
      <c:valAx>
        <c:axId val="6149053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20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'1.16 СВФ'!$B$19:$B$22</c:f>
              <c:strCache>
                <c:ptCount val="4"/>
                <c:pt idx="0">
                  <c:v>СЦ МЧС России и Рузский ЦОПУ</c:v>
                </c:pt>
                <c:pt idx="1">
                  <c:v>военослужащих</c:v>
                </c:pt>
                <c:pt idx="2">
                  <c:v>гражданского персонала</c:v>
                </c:pt>
                <c:pt idx="3">
                  <c:v>единиц техники </c:v>
                </c:pt>
              </c:strCache>
            </c:strRef>
          </c:cat>
          <c:val>
            <c:numRef>
              <c:f>'1.16 СВФ'!$C$19:$C$22</c:f>
              <c:numCache>
                <c:formatCode>General</c:formatCode>
                <c:ptCount val="4"/>
                <c:pt idx="0">
                  <c:v>10</c:v>
                </c:pt>
                <c:pt idx="1">
                  <c:v>4927</c:v>
                </c:pt>
                <c:pt idx="2">
                  <c:v>2644</c:v>
                </c:pt>
                <c:pt idx="3">
                  <c:v>2077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AB3-4552-B14D-E934E4E50761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'1.16 СВФ'!$B$19:$B$22</c:f>
              <c:strCache>
                <c:ptCount val="4"/>
                <c:pt idx="0">
                  <c:v>СЦ МЧС России и Рузский ЦОПУ</c:v>
                </c:pt>
                <c:pt idx="1">
                  <c:v>военослужащих</c:v>
                </c:pt>
                <c:pt idx="2">
                  <c:v>гражданского персонала</c:v>
                </c:pt>
                <c:pt idx="3">
                  <c:v>единиц техники </c:v>
                </c:pt>
              </c:strCache>
            </c:strRef>
          </c:cat>
          <c:val>
            <c:numRef>
              <c:f>'1.16 СВФ'!$D$19:$D$22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AB3-4552-B14D-E934E4E5076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07696"/>
        <c:axId val="614895936"/>
      </c:barChart>
      <c:catAx>
        <c:axId val="6149076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5936"/>
        <c:crosses val="autoZero"/>
        <c:auto val="1"/>
        <c:lblAlgn val="ctr"/>
        <c:lblOffset val="100"/>
        <c:noMultiLvlLbl val="0"/>
      </c:catAx>
      <c:valAx>
        <c:axId val="614895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76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 w="19050">
              <a:solidFill>
                <a:schemeClr val="lt1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'1.16 СВФ'!$B$11</c:f>
              <c:strCache>
                <c:ptCount val="1"/>
                <c:pt idx="0">
                  <c:v>Оказана помощь</c:v>
                </c:pt>
              </c:strCache>
            </c:strRef>
          </c:cat>
          <c:val>
            <c:numRef>
              <c:f>'1.16 СВФ'!$C$11</c:f>
              <c:numCache>
                <c:formatCode>General</c:formatCode>
                <c:ptCount val="1"/>
                <c:pt idx="0">
                  <c:v>722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AF6-43EE-9E49-5C75B1048B15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 w="19050">
              <a:solidFill>
                <a:schemeClr val="lt1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'1.16 СВФ'!$B$11</c:f>
              <c:strCache>
                <c:ptCount val="1"/>
                <c:pt idx="0">
                  <c:v>Оказана помощь</c:v>
                </c:pt>
              </c:strCache>
            </c:strRef>
          </c:cat>
          <c:val>
            <c:numRef>
              <c:f>'1.16 СВФ'!$D$11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7-9AF6-43EE-9E49-5C75B1048B1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614900640"/>
        <c:axId val="614902992"/>
      </c:barChart>
      <c:catAx>
        <c:axId val="614900640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оказано помощи</a:t>
                </a:r>
                <a:endParaRPr lang="en-US"/>
              </a:p>
            </c:rich>
          </c:tx>
          <c:layout/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none"/>
        <c:tickLblPos val="nextTo"/>
        <c:crossAx val="614902992"/>
        <c:crosses val="autoZero"/>
        <c:auto val="1"/>
        <c:lblAlgn val="ctr"/>
        <c:lblOffset val="100"/>
        <c:noMultiLvlLbl val="0"/>
      </c:catAx>
      <c:valAx>
        <c:axId val="6149029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06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'1.17 РПП'!$B$6:$B$9</c:f>
              <c:strCache>
                <c:ptCount val="4"/>
                <c:pt idx="0">
                  <c:v>   авиационных бомб</c:v>
                </c:pt>
                <c:pt idx="1">
                  <c:v>   артиллерийских снарядов</c:v>
                </c:pt>
                <c:pt idx="2">
                  <c:v>   инженерный боеприпас</c:v>
                </c:pt>
                <c:pt idx="3">
                  <c:v>   других ВОП</c:v>
                </c:pt>
              </c:strCache>
            </c:strRef>
          </c:cat>
          <c:val>
            <c:numRef>
              <c:f>'1.17 РПП'!$C$6:$C$9</c:f>
              <c:numCache>
                <c:formatCode>General</c:formatCode>
                <c:ptCount val="4"/>
                <c:pt idx="0">
                  <c:v>1320</c:v>
                </c:pt>
                <c:pt idx="1">
                  <c:v>79266</c:v>
                </c:pt>
                <c:pt idx="2">
                  <c:v>16571</c:v>
                </c:pt>
                <c:pt idx="3">
                  <c:v>36558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3ED-446A-BECD-C6D0A17BABE9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'1.17 РПП'!$B$6:$B$9</c:f>
              <c:strCache>
                <c:ptCount val="4"/>
                <c:pt idx="0">
                  <c:v>   авиационных бомб</c:v>
                </c:pt>
                <c:pt idx="1">
                  <c:v>   артиллерийских снарядов</c:v>
                </c:pt>
                <c:pt idx="2">
                  <c:v>   инженерный боеприпас</c:v>
                </c:pt>
                <c:pt idx="3">
                  <c:v>   других ВОП</c:v>
                </c:pt>
              </c:strCache>
            </c:strRef>
          </c:cat>
          <c:val>
            <c:numRef>
              <c:f>'1.17 РПП'!$D$6:$D$9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3ED-446A-BECD-C6D0A17BABE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02208"/>
        <c:axId val="614898288"/>
      </c:barChart>
      <c:catAx>
        <c:axId val="6149022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8288"/>
        <c:crosses val="autoZero"/>
        <c:auto val="1"/>
        <c:lblAlgn val="ctr"/>
        <c:lblOffset val="100"/>
        <c:noMultiLvlLbl val="0"/>
      </c:catAx>
      <c:valAx>
        <c:axId val="6148982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22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'1.18 ВГCЧ'!$C$6:$C$11</c:f>
              <c:strCache>
                <c:ptCount val="6"/>
                <c:pt idx="0">
                  <c:v>ликвидированных аварий</c:v>
                </c:pt>
                <c:pt idx="1">
                  <c:v>спасенных</c:v>
                </c:pt>
                <c:pt idx="2">
                  <c:v>оказаний медицинской помощи</c:v>
                </c:pt>
                <c:pt idx="3">
                  <c:v> в т.ч. в подземных условиях </c:v>
                </c:pt>
                <c:pt idx="4">
                  <c:v>профилактических обследований обслуживаемых предприятий</c:v>
                </c:pt>
                <c:pt idx="5">
                  <c:v>технические работы проведены</c:v>
                </c:pt>
              </c:strCache>
            </c:strRef>
          </c:cat>
          <c:val>
            <c:numRef>
              <c:f>'1.18 ВГCЧ'!$D$6:$D$11</c:f>
              <c:numCache>
                <c:formatCode>General</c:formatCode>
                <c:ptCount val="6"/>
                <c:pt idx="0">
                  <c:v>25</c:v>
                </c:pt>
                <c:pt idx="1">
                  <c:v>1782</c:v>
                </c:pt>
                <c:pt idx="2">
                  <c:v>254</c:v>
                </c:pt>
                <c:pt idx="3">
                  <c:v>30</c:v>
                </c:pt>
                <c:pt idx="4">
                  <c:v>29837</c:v>
                </c:pt>
                <c:pt idx="5">
                  <c:v>142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E672-4BB2-9977-FBEE5F8A436F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'1.18 ВГCЧ'!$C$6:$C$11</c:f>
              <c:strCache>
                <c:ptCount val="6"/>
                <c:pt idx="0">
                  <c:v>ликвидированных аварий</c:v>
                </c:pt>
                <c:pt idx="1">
                  <c:v>спасенных</c:v>
                </c:pt>
                <c:pt idx="2">
                  <c:v>оказаний медицинской помощи</c:v>
                </c:pt>
                <c:pt idx="3">
                  <c:v> в т.ч. в подземных условиях </c:v>
                </c:pt>
                <c:pt idx="4">
                  <c:v>профилактических обследований обслуживаемых предприятий</c:v>
                </c:pt>
                <c:pt idx="5">
                  <c:v>технические работы проведены</c:v>
                </c:pt>
              </c:strCache>
            </c:strRef>
          </c:cat>
          <c:val>
            <c:numRef>
              <c:f>'1.18 ВГCЧ'!$E$6:$E$11</c:f>
              <c:numCache>
                <c:formatCode>General</c:formatCode>
                <c:ptCount val="6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E672-4BB2-9977-FBEE5F8A436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897504"/>
        <c:axId val="614898680"/>
      </c:barChart>
      <c:catAx>
        <c:axId val="6148975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8680"/>
        <c:crosses val="autoZero"/>
        <c:auto val="1"/>
        <c:lblAlgn val="ctr"/>
        <c:lblOffset val="100"/>
        <c:noMultiLvlLbl val="0"/>
      </c:catAx>
      <c:valAx>
        <c:axId val="6148986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75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solidFill>
                <a:srgbClr val="FFC000"/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'1.19 ПфВЧ'!$B$5:$B$13</c:f>
              <c:strCache>
                <c:ptCount val="9"/>
                <c:pt idx="0">
                  <c:v>Работы по ликвидации газоподонефтепроявления и октрытых фонтанов</c:v>
                </c:pt>
                <c:pt idx="1">
                  <c:v>технических работ на устьях скважин </c:v>
                </c:pt>
                <c:pt idx="2">
                  <c:v>учебно-тренировочных занятий</c:v>
                </c:pt>
                <c:pt idx="3">
                  <c:v>согласований планов ликвидации аварий</c:v>
                </c:pt>
                <c:pt idx="4">
                  <c:v>профилактических обследования обслуживаемых предприятий</c:v>
                </c:pt>
                <c:pt idx="5">
                  <c:v>             выявлено нарушений</c:v>
                </c:pt>
                <c:pt idx="6">
                  <c:v>             выдано предписаний</c:v>
                </c:pt>
                <c:pt idx="7">
                  <c:v>             выдано запрещений</c:v>
                </c:pt>
                <c:pt idx="8">
                  <c:v>             выдано разрешений</c:v>
                </c:pt>
              </c:strCache>
            </c:strRef>
          </c:cat>
          <c:val>
            <c:numRef>
              <c:f>'1.19 ПфВЧ'!$C$5:$C$13</c:f>
              <c:numCache>
                <c:formatCode>General</c:formatCode>
                <c:ptCount val="9"/>
                <c:pt idx="0">
                  <c:v>3</c:v>
                </c:pt>
                <c:pt idx="1">
                  <c:v>99</c:v>
                </c:pt>
                <c:pt idx="2">
                  <c:v>20513</c:v>
                </c:pt>
                <c:pt idx="3">
                  <c:v>350</c:v>
                </c:pt>
                <c:pt idx="4">
                  <c:v>175793</c:v>
                </c:pt>
                <c:pt idx="5">
                  <c:v>127114</c:v>
                </c:pt>
                <c:pt idx="6">
                  <c:v>10015</c:v>
                </c:pt>
                <c:pt idx="7">
                  <c:v>163</c:v>
                </c:pt>
                <c:pt idx="8">
                  <c:v>8536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974-4F6D-B64B-C1677B27DA27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'1.19 ПфВЧ'!$B$5:$B$13</c:f>
              <c:strCache>
                <c:ptCount val="9"/>
                <c:pt idx="0">
                  <c:v>Работы по ликвидации газоподонефтепроявления и октрытых фонтанов</c:v>
                </c:pt>
                <c:pt idx="1">
                  <c:v>технических работ на устьях скважин </c:v>
                </c:pt>
                <c:pt idx="2">
                  <c:v>учебно-тренировочных занятий</c:v>
                </c:pt>
                <c:pt idx="3">
                  <c:v>согласований планов ликвидации аварий</c:v>
                </c:pt>
                <c:pt idx="4">
                  <c:v>профилактических обследования обслуживаемых предприятий</c:v>
                </c:pt>
                <c:pt idx="5">
                  <c:v>             выявлено нарушений</c:v>
                </c:pt>
                <c:pt idx="6">
                  <c:v>             выдано предписаний</c:v>
                </c:pt>
                <c:pt idx="7">
                  <c:v>             выдано запрещений</c:v>
                </c:pt>
                <c:pt idx="8">
                  <c:v>             выдано разрешений</c:v>
                </c:pt>
              </c:strCache>
            </c:strRef>
          </c:cat>
          <c:val>
            <c:numRef>
              <c:f>'1.19 ПфВЧ'!$D$5:$D$13</c:f>
              <c:numCache>
                <c:formatCode>General</c:formatCode>
                <c:ptCount val="9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2974-4F6D-B64B-C1677B27DA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14897112"/>
        <c:axId val="614901032"/>
      </c:barChart>
      <c:catAx>
        <c:axId val="6148971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1032"/>
        <c:crosses val="autoZero"/>
        <c:auto val="1"/>
        <c:lblAlgn val="ctr"/>
        <c:lblOffset val="100"/>
        <c:noMultiLvlLbl val="0"/>
      </c:catAx>
      <c:valAx>
        <c:axId val="614901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71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'1.19 ПфВЧ'!$C$23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'1.19 ПфВЧ'!$B$24:$B$26</c:f>
              <c:strCache>
                <c:ptCount val="3"/>
                <c:pt idx="0">
                  <c:v>Противофонтанные военизированные части </c:v>
                </c:pt>
                <c:pt idx="1">
                  <c:v>фактическая численность группировки сил</c:v>
                </c:pt>
                <c:pt idx="2">
                  <c:v>единиц техники</c:v>
                </c:pt>
              </c:strCache>
            </c:strRef>
          </c:cat>
          <c:val>
            <c:numRef>
              <c:f>'1.19 ПфВЧ'!$C$24:$C$26</c:f>
              <c:numCache>
                <c:formatCode>General</c:formatCode>
                <c:ptCount val="3"/>
                <c:pt idx="0">
                  <c:v>4</c:v>
                </c:pt>
                <c:pt idx="1">
                  <c:v>213</c:v>
                </c:pt>
                <c:pt idx="2">
                  <c:v>110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CE40-48CA-B648-D781A530030D}"/>
            </c:ext>
          </c:extLst>
        </c:ser>
        <c:ser>
          <c:idx val="1"/>
          <c:order val="1"/>
          <c:tx>
            <c:strRef>
              <c:f>'1.19 ПфВЧ'!$D$23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'1.19 ПфВЧ'!$B$24:$B$26</c:f>
              <c:strCache>
                <c:ptCount val="3"/>
                <c:pt idx="0">
                  <c:v>Противофонтанные военизированные части </c:v>
                </c:pt>
                <c:pt idx="1">
                  <c:v>фактическая численность группировки сил</c:v>
                </c:pt>
                <c:pt idx="2">
                  <c:v>единиц техники</c:v>
                </c:pt>
              </c:strCache>
            </c:strRef>
          </c:cat>
          <c:val>
            <c:numRef>
              <c:f>'1.19 ПфВЧ'!$D$24:$D$26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CE40-48CA-B648-D781A530030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01424"/>
        <c:axId val="614903384"/>
      </c:barChart>
      <c:catAx>
        <c:axId val="6149014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3384"/>
        <c:crosses val="autoZero"/>
        <c:auto val="1"/>
        <c:lblAlgn val="ctr"/>
        <c:lblOffset val="100"/>
        <c:noMultiLvlLbl val="0"/>
      </c:catAx>
      <c:valAx>
        <c:axId val="6149033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142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'1.20 СПО ФПС'!$C$3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'1.20 СПО ФПС'!$C$4</c:f>
              <c:numCache>
                <c:formatCode>General</c:formatCode>
                <c:ptCount val="1"/>
                <c:pt idx="0">
                  <c:v>1229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3D3-4CDE-99F5-CBB55EE3C745}"/>
            </c:ext>
          </c:extLst>
        </c:ser>
        <c:ser>
          <c:idx val="1"/>
          <c:order val="1"/>
          <c:tx>
            <c:strRef>
              <c:f>'1.20 СПО ФПС'!$D$3</c:f>
              <c:strCache>
                <c:ptCount val="1"/>
                <c:pt idx="0">
                  <c:v>2023г.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'1.20 СПО ФПС'!$D$4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93D3-4CDE-99F5-CBB55EE3C74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03776"/>
        <c:axId val="614899856"/>
      </c:barChart>
      <c:catAx>
        <c:axId val="614903776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количество пожаров на объектах и ЗАТО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899856"/>
        <c:crosses val="autoZero"/>
        <c:auto val="1"/>
        <c:lblAlgn val="ctr"/>
        <c:lblOffset val="100"/>
        <c:noMultiLvlLbl val="0"/>
      </c:catAx>
      <c:valAx>
        <c:axId val="6148998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37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'1.20 СПО ФПС'!$B$5:$B$7</c:f>
              <c:strCache>
                <c:ptCount val="3"/>
                <c:pt idx="0">
                  <c:v>практических отработок по эвакуации людей из зданий и действий в случае ЧС, отработок оперативных планов и карточек тушения пожаров</c:v>
                </c:pt>
                <c:pt idx="1">
                  <c:v>человек обучено мерам пожарной безопасности</c:v>
                </c:pt>
                <c:pt idx="2">
                  <c:v>информационных материалов размещено в социальных сетях</c:v>
                </c:pt>
              </c:strCache>
            </c:strRef>
          </c:cat>
          <c:val>
            <c:numRef>
              <c:f>'1.20 СПО ФПС'!$C$5:$C$7</c:f>
              <c:numCache>
                <c:formatCode>General</c:formatCode>
                <c:ptCount val="3"/>
                <c:pt idx="0">
                  <c:v>3178</c:v>
                </c:pt>
                <c:pt idx="1">
                  <c:v>81236</c:v>
                </c:pt>
                <c:pt idx="2">
                  <c:v>3446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72F-4D9F-83D1-218E31434251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'1.20 СПО ФПС'!$B$5:$B$7</c:f>
              <c:strCache>
                <c:ptCount val="3"/>
                <c:pt idx="0">
                  <c:v>практических отработок по эвакуации людей из зданий и действий в случае ЧС, отработок оперативных планов и карточек тушения пожаров</c:v>
                </c:pt>
                <c:pt idx="1">
                  <c:v>человек обучено мерам пожарной безопасности</c:v>
                </c:pt>
                <c:pt idx="2">
                  <c:v>информационных материалов размещено в социальных сетях</c:v>
                </c:pt>
              </c:strCache>
            </c:strRef>
          </c:cat>
          <c:val>
            <c:numRef>
              <c:f>'1.20 СПО ФПС'!$D$5:$D$7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72F-4D9F-83D1-218E3143425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08872"/>
        <c:axId val="614913968"/>
      </c:barChart>
      <c:catAx>
        <c:axId val="6149088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13968"/>
        <c:crosses val="autoZero"/>
        <c:auto val="1"/>
        <c:lblAlgn val="ctr"/>
        <c:lblOffset val="100"/>
        <c:noMultiLvlLbl val="0"/>
      </c:catAx>
      <c:valAx>
        <c:axId val="6149139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88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'1.20 СПО ФПС'!$B$8</c:f>
              <c:strCache>
                <c:ptCount val="1"/>
                <c:pt idx="0">
                  <c:v>Спасены на пожарах, чел</c:v>
                </c:pt>
              </c:strCache>
            </c:strRef>
          </c:cat>
          <c:val>
            <c:numRef>
              <c:f>'1.20 СПО ФПС'!$C$8</c:f>
              <c:numCache>
                <c:formatCode>General</c:formatCode>
                <c:ptCount val="1"/>
                <c:pt idx="0">
                  <c:v>332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F400-452A-9EB0-910B61A07766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'1.20 СПО ФПС'!$B$8</c:f>
              <c:strCache>
                <c:ptCount val="1"/>
                <c:pt idx="0">
                  <c:v>Спасены на пожарах, чел</c:v>
                </c:pt>
              </c:strCache>
            </c:strRef>
          </c:cat>
          <c:val>
            <c:numRef>
              <c:f>'1.20 СПО ФПС'!$D$8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F400-452A-9EB0-910B61A0776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14910048"/>
        <c:axId val="614910440"/>
      </c:barChart>
      <c:catAx>
        <c:axId val="6149100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10440"/>
        <c:crosses val="autoZero"/>
        <c:auto val="1"/>
        <c:lblAlgn val="ctr"/>
        <c:lblOffset val="100"/>
        <c:noMultiLvlLbl val="0"/>
      </c:catAx>
      <c:valAx>
        <c:axId val="6149104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100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'1.20 СПО ФПС'!$B$9:$B$13</c:f>
              <c:strCache>
                <c:ptCount val="5"/>
                <c:pt idx="0">
                  <c:v>контрольных (надзорных мероприятий)</c:v>
                </c:pt>
                <c:pt idx="1">
                  <c:v>нарушений требований пожарной безопасности</c:v>
                </c:pt>
                <c:pt idx="2">
                  <c:v>Предписаний по устранению нарушений требований пожарной безопасности</c:v>
                </c:pt>
                <c:pt idx="3">
                  <c:v>протоколов об административных правонаружениях</c:v>
                </c:pt>
                <c:pt idx="4">
                  <c:v>массовых профилактических мероприятий</c:v>
                </c:pt>
              </c:strCache>
            </c:strRef>
          </c:cat>
          <c:val>
            <c:numRef>
              <c:f>'1.20 СПО ФПС'!$C$9:$C$13</c:f>
              <c:numCache>
                <c:formatCode>General</c:formatCode>
                <c:ptCount val="5"/>
                <c:pt idx="0">
                  <c:v>1218</c:v>
                </c:pt>
                <c:pt idx="1">
                  <c:v>9567</c:v>
                </c:pt>
                <c:pt idx="2">
                  <c:v>578</c:v>
                </c:pt>
                <c:pt idx="3">
                  <c:v>1514</c:v>
                </c:pt>
                <c:pt idx="4">
                  <c:v>2498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41E-4972-9E5E-F29AAA0152DF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'1.20 СПО ФПС'!$B$9:$B$13</c:f>
              <c:strCache>
                <c:ptCount val="5"/>
                <c:pt idx="0">
                  <c:v>контрольных (надзорных мероприятий)</c:v>
                </c:pt>
                <c:pt idx="1">
                  <c:v>нарушений требований пожарной безопасности</c:v>
                </c:pt>
                <c:pt idx="2">
                  <c:v>Предписаний по устранению нарушений требований пожарной безопасности</c:v>
                </c:pt>
                <c:pt idx="3">
                  <c:v>протоколов об административных правонаружениях</c:v>
                </c:pt>
                <c:pt idx="4">
                  <c:v>массовых профилактических мероприятий</c:v>
                </c:pt>
              </c:strCache>
            </c:strRef>
          </c:cat>
          <c:val>
            <c:numRef>
              <c:f>'1.20 СПО ФПС'!$D$9:$D$13</c:f>
              <c:numCache>
                <c:formatCode>General</c:formatCode>
                <c:ptCount val="5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941E-4972-9E5E-F29AAA0152D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09264"/>
        <c:axId val="614912400"/>
      </c:barChart>
      <c:catAx>
        <c:axId val="6149092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12400"/>
        <c:crosses val="autoZero"/>
        <c:auto val="1"/>
        <c:lblAlgn val="ctr"/>
        <c:lblOffset val="100"/>
        <c:noMultiLvlLbl val="0"/>
      </c:catAx>
      <c:valAx>
        <c:axId val="6149124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092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'1.21 Психологи'!$B$2</c:f>
              <c:strCache>
                <c:ptCount val="1"/>
                <c:pt idx="0">
                  <c:v>Количество привлечений психологов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'1.21 Психологи'!$B$3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2F3-451F-B3FC-9CB5D5E6EF20}"/>
            </c:ext>
          </c:extLst>
        </c:ser>
        <c:ser>
          <c:idx val="1"/>
          <c:order val="1"/>
          <c:tx>
            <c:strRef>
              <c:f>'1.21 Психологи'!$C$2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'1.21 Психологи'!$C$3</c:f>
              <c:numCache>
                <c:formatCode>General</c:formatCode>
                <c:ptCount val="1"/>
                <c:pt idx="0">
                  <c:v>2357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62F3-451F-B3FC-9CB5D5E6EF20}"/>
            </c:ext>
          </c:extLst>
        </c:ser>
        <c:ser>
          <c:idx val="2"/>
          <c:order val="2"/>
          <c:tx>
            <c:strRef>
              <c:f>'1.21 Психологи'!$D$2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'1.21 Психологи'!$D$3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62F3-451F-B3FC-9CB5D5E6EF2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12792"/>
        <c:axId val="614911616"/>
      </c:barChart>
      <c:catAx>
        <c:axId val="614912792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614911616"/>
        <c:crosses val="autoZero"/>
        <c:auto val="1"/>
        <c:lblAlgn val="ctr"/>
        <c:lblOffset val="100"/>
        <c:noMultiLvlLbl val="0"/>
      </c:catAx>
      <c:valAx>
        <c:axId val="6149116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127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egendEntry>
        <c:idx val="0"/>
        <c:delete val="1"/>
      </c:legendEntry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'1.22 ДПО'!$C$4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'1.22 ДПО'!$C$5</c:f>
              <c:numCache>
                <c:formatCode>General</c:formatCode>
                <c:ptCount val="1"/>
                <c:pt idx="0">
                  <c:v>46884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5718-4EDC-BC93-3D0882AB9605}"/>
            </c:ext>
          </c:extLst>
        </c:ser>
        <c:ser>
          <c:idx val="1"/>
          <c:order val="1"/>
          <c:tx>
            <c:strRef>
              <c:f>'1.22 ДПО'!$D$4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'1.22 ДПО'!$D$5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5718-4EDC-BC93-3D0882AB960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14913184"/>
        <c:axId val="614915144"/>
      </c:barChart>
      <c:catAx>
        <c:axId val="614913184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участий в тушении пожаров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none"/>
        <c:tickLblPos val="nextTo"/>
        <c:crossAx val="614915144"/>
        <c:crosses val="autoZero"/>
        <c:auto val="1"/>
        <c:lblAlgn val="ctr"/>
        <c:lblOffset val="100"/>
        <c:noMultiLvlLbl val="0"/>
      </c:catAx>
      <c:valAx>
        <c:axId val="6149151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131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'1.22 ДПО'!$C$22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'1.22 ДПО'!$C$23</c:f>
              <c:numCache>
                <c:formatCode>General</c:formatCode>
                <c:ptCount val="1"/>
                <c:pt idx="0">
                  <c:v>536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0AEC-49E8-94A4-223E267A394D}"/>
            </c:ext>
          </c:extLst>
        </c:ser>
        <c:ser>
          <c:idx val="1"/>
          <c:order val="1"/>
          <c:tx>
            <c:strRef>
              <c:f>'1.22 ДПО'!$D$22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'1.22 ДПО'!$D$23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0AEC-49E8-94A4-223E267A394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14910832"/>
        <c:axId val="614911224"/>
      </c:barChart>
      <c:catAx>
        <c:axId val="614910832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спасенных, чел.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none"/>
        <c:tickLblPos val="nextTo"/>
        <c:crossAx val="614911224"/>
        <c:crosses val="autoZero"/>
        <c:auto val="1"/>
        <c:lblAlgn val="ctr"/>
        <c:lblOffset val="100"/>
        <c:noMultiLvlLbl val="0"/>
      </c:catAx>
      <c:valAx>
        <c:axId val="6149112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149108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'1.22 ДПО'!$C$41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'1.22 ДПО'!$C$42</c:f>
              <c:numCache>
                <c:formatCode>General</c:formatCode>
                <c:ptCount val="1"/>
                <c:pt idx="0">
                  <c:v>4328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5EC-4DCF-9ADF-AF031053E36E}"/>
            </c:ext>
          </c:extLst>
        </c:ser>
        <c:ser>
          <c:idx val="1"/>
          <c:order val="1"/>
          <c:tx>
            <c:strRef>
              <c:f>'1.22 ДПО'!$D$41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'1.22 ДПО'!$D$42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25EC-4DCF-9ADF-AF031053E36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55728"/>
        <c:axId val="517453768"/>
      </c:barChart>
      <c:catAx>
        <c:axId val="51745572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517453768"/>
        <c:crosses val="autoZero"/>
        <c:auto val="1"/>
        <c:lblAlgn val="ctr"/>
        <c:lblOffset val="100"/>
        <c:noMultiLvlLbl val="0"/>
      </c:catAx>
      <c:valAx>
        <c:axId val="5174537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517455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strRef>
              <c:f>'1.22 ДПО'!$D$16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'1.22 ДПО'!$B$17:$B$19</c:f>
              <c:strCache>
                <c:ptCount val="3"/>
                <c:pt idx="0">
                  <c:v>подворовых обхода в сельских населенных пунктах</c:v>
                </c:pt>
                <c:pt idx="1">
                  <c:v>обследований многоквартирных жилых домов и придомовых территорий</c:v>
                </c:pt>
                <c:pt idx="2">
                  <c:v>бесед по вопросам соблюдения правил безопасности при возникновении ЧС (пожаров) и безопасности жизнедеятельности</c:v>
                </c:pt>
              </c:strCache>
            </c:strRef>
          </c:cat>
          <c:val>
            <c:numRef>
              <c:f>'1.22 ДПО'!$D$17:$D$19</c:f>
              <c:numCache>
                <c:formatCode>General</c:formatCode>
                <c:ptCount val="3"/>
                <c:pt idx="0">
                  <c:v>1342734</c:v>
                </c:pt>
                <c:pt idx="1">
                  <c:v>409205</c:v>
                </c:pt>
                <c:pt idx="2">
                  <c:v>1079868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3FF-4681-909B-182859970D41}"/>
            </c:ext>
          </c:extLst>
        </c:ser>
        <c:ser>
          <c:idx val="2"/>
          <c:order val="2"/>
          <c:tx>
            <c:strRef>
              <c:f>'1.22 ДПО'!$E$16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'1.22 ДПО'!$B$17:$B$19</c:f>
              <c:strCache>
                <c:ptCount val="3"/>
                <c:pt idx="0">
                  <c:v>подворовых обхода в сельских населенных пунктах</c:v>
                </c:pt>
                <c:pt idx="1">
                  <c:v>обследований многоквартирных жилых домов и придомовых территорий</c:v>
                </c:pt>
                <c:pt idx="2">
                  <c:v>бесед по вопросам соблюдения правил безопасности при возникновении ЧС (пожаров) и безопасности жизнедеятельности</c:v>
                </c:pt>
              </c:strCache>
            </c:strRef>
          </c:cat>
          <c:val>
            <c:numRef>
              <c:f>'1.22 ДПО'!$E$17:$E$19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A3FF-4681-909B-182859970D4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54160"/>
        <c:axId val="517456120"/>
        <c:extLst xmlns:c16r2="http://schemas.microsoft.com/office/drawing/2015/06/chart"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 xmlns:c16r2="http://schemas.microsoft.com/office/drawing/2015/06/chart">
                      <c:ext uri="{02D57815-91ED-43cb-92C2-25804820EDAC}">
                        <c15:formulaRef>
                          <c15:sqref>'[3]1.22 ДПО'!$C$16</c15:sqref>
                        </c15:formulaRef>
                      </c:ext>
                    </c:extLst>
                    <c:strCache>
                      <c:ptCount val="1"/>
                      <c:pt idx="0">
                        <c:v>#ССЫЛКА!</c:v>
                      </c:pt>
                    </c:strCache>
                  </c:strRef>
                </c:tx>
                <c:spPr>
                  <a:solidFill>
                    <a:schemeClr val="accent1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Times New Roman" panose="02020603050405020304" pitchFamily="18" charset="0"/>
                          <a:ea typeface="+mn-ea"/>
                          <a:cs typeface="Times New Roman" panose="02020603050405020304" pitchFamily="18" charset="0"/>
                        </a:defRPr>
                      </a:pPr>
                      <a:endParaRPr lang="ru-RU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6r2="http://schemas.microsoft.com/office/drawing/2015/06/chart">
                    <c:ext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 xmlns:c16r2="http://schemas.microsoft.com/office/drawing/2015/06/chart">
                      <c:ext uri="{02D57815-91ED-43cb-92C2-25804820EDAC}">
                        <c15:formulaRef>
                          <c15:sqref>'[3]1.22 ДПО'!$B$17:$B$19</c15:sqref>
                        </c15:formulaRef>
                      </c:ext>
                    </c:extLst>
                    <c:strCache>
                      <c:ptCount val="3"/>
                      <c:pt idx="0">
                        <c:v>подворовых обхода в сельских населенных пунктах</c:v>
                      </c:pt>
                      <c:pt idx="1">
                        <c:v>обследований многоквартирных жилых домов и придомовых территорий</c:v>
                      </c:pt>
                      <c:pt idx="2">
                        <c:v>бесед по вопросам соблюдения правил безопасности при возникновении ЧС (пожаров) и безопасности жизнедеятельности</c:v>
                      </c:pt>
                    </c:strCache>
                  </c:strRef>
                </c:cat>
                <c:val>
                  <c:numRef>
                    <c:extLst xmlns:c16r2="http://schemas.microsoft.com/office/drawing/2015/06/chart">
                      <c:ext uri="{02D57815-91ED-43cb-92C2-25804820EDAC}">
                        <c15:formulaRef>
                          <c15:sqref>'[3]1.22 ДПО'!$C$17:$C$19</c15:sqref>
                        </c15:formulaRef>
                      </c:ext>
                    </c:extLst>
                    <c:numCache>
                      <c:formatCode>General</c:formatCode>
                      <c:ptCount val="3"/>
                    </c:numCache>
                  </c:numRef>
                </c:val>
                <c:extLst xmlns:c16r2="http://schemas.microsoft.com/office/drawing/2015/06/chart">
                  <c:ext xmlns:c16="http://schemas.microsoft.com/office/drawing/2014/chart" uri="{C3380CC4-5D6E-409C-BE32-E72D297353CC}">
                    <c16:uniqueId val="{00000000-A3FF-4681-909B-182859970D41}"/>
                  </c:ext>
                </c:extLst>
              </c15:ser>
            </c15:filteredBarSeries>
          </c:ext>
        </c:extLst>
      </c:barChart>
      <c:catAx>
        <c:axId val="5174541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6120"/>
        <c:crosses val="autoZero"/>
        <c:auto val="1"/>
        <c:lblAlgn val="ctr"/>
        <c:lblOffset val="100"/>
        <c:noMultiLvlLbl val="0"/>
      </c:catAx>
      <c:valAx>
        <c:axId val="5174561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41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'1.22 ДПО'!$C$28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'1.22 ДПО'!$B$29:$B$30</c:f>
              <c:strCache>
                <c:ptCount val="2"/>
                <c:pt idx="0">
                  <c:v>подразделений</c:v>
                </c:pt>
                <c:pt idx="1">
                  <c:v>пожарных</c:v>
                </c:pt>
              </c:strCache>
            </c:strRef>
          </c:cat>
          <c:val>
            <c:numRef>
              <c:f>'1.22 ДПО'!$C$29:$C$30</c:f>
              <c:numCache>
                <c:formatCode>General</c:formatCode>
                <c:ptCount val="2"/>
                <c:pt idx="0">
                  <c:v>36688</c:v>
                </c:pt>
                <c:pt idx="1">
                  <c:v>352028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C1D-4494-930F-C87354765296}"/>
            </c:ext>
          </c:extLst>
        </c:ser>
        <c:ser>
          <c:idx val="1"/>
          <c:order val="1"/>
          <c:tx>
            <c:strRef>
              <c:f>'1.22 ДПО'!$D$28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'1.22 ДПО'!$B$29:$B$30</c:f>
              <c:strCache>
                <c:ptCount val="2"/>
                <c:pt idx="0">
                  <c:v>подразделений</c:v>
                </c:pt>
                <c:pt idx="1">
                  <c:v>пожарных</c:v>
                </c:pt>
              </c:strCache>
            </c:strRef>
          </c:cat>
          <c:val>
            <c:numRef>
              <c:f>'1.22 ДПО'!$D$29:$D$30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8C1D-4494-930F-C8735476529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54552"/>
        <c:axId val="517448672"/>
      </c:barChart>
      <c:catAx>
        <c:axId val="5174545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517448672"/>
        <c:crosses val="autoZero"/>
        <c:auto val="1"/>
        <c:lblAlgn val="ctr"/>
        <c:lblOffset val="100"/>
        <c:noMultiLvlLbl val="0"/>
      </c:catAx>
      <c:valAx>
        <c:axId val="5174486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5174545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'1.23 Надзор ЗНТЧС '!$C$3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</c:spPr>
          <c:invertIfNegative val="0"/>
          <c:cat>
            <c:strRef>
              <c:f>'1.23 Надзор ЗНТЧС '!$B$4:$B$7</c:f>
              <c:strCache>
                <c:ptCount val="4"/>
                <c:pt idx="0">
                  <c:v>проведено плановых и внеплановых контрольных (надзорных) мероприятий</c:v>
                </c:pt>
                <c:pt idx="1">
                  <c:v>выдано предписаний об устранении нарушений обязательных требований и реализации полномочий в области защиты населения и территорий от ЧС</c:v>
                </c:pt>
                <c:pt idx="2">
                  <c:v>выявлено нарушений требований и реализации полномочий в области защиты населения и территорий от ЧС</c:v>
                </c:pt>
                <c:pt idx="3">
                  <c:v>устранено нарушений требований и реализации полномочий в области защиты населения и территорий от ЧС</c:v>
                </c:pt>
              </c:strCache>
            </c:strRef>
          </c:cat>
          <c:val>
            <c:numRef>
              <c:f>'1.23 Надзор ЗНТЧС '!$C$4:$C$7</c:f>
              <c:numCache>
                <c:formatCode>General</c:formatCode>
                <c:ptCount val="4"/>
              </c:numCache>
            </c:numRef>
          </c:val>
        </c:ser>
        <c:ser>
          <c:idx val="1"/>
          <c:order val="1"/>
          <c:tx>
            <c:strRef>
              <c:f>'1.23 Надзор ЗНТЧС '!$D$3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</c:spPr>
          <c:invertIfNegative val="0"/>
          <c:cat>
            <c:strRef>
              <c:f>'1.23 Надзор ЗНТЧС '!$B$4:$B$7</c:f>
              <c:strCache>
                <c:ptCount val="4"/>
                <c:pt idx="0">
                  <c:v>проведено плановых и внеплановых контрольных (надзорных) мероприятий</c:v>
                </c:pt>
                <c:pt idx="1">
                  <c:v>выдано предписаний об устранении нарушений обязательных требований и реализации полномочий в области защиты населения и территорий от ЧС</c:v>
                </c:pt>
                <c:pt idx="2">
                  <c:v>выявлено нарушений требований и реализации полномочий в области защиты населения и территорий от ЧС</c:v>
                </c:pt>
                <c:pt idx="3">
                  <c:v>устранено нарушений требований и реализации полномочий в области защиты населения и территорий от ЧС</c:v>
                </c:pt>
              </c:strCache>
            </c:strRef>
          </c:cat>
          <c:val>
            <c:numRef>
              <c:f>'1.23 Надзор ЗНТЧС '!$D$4:$D$7</c:f>
              <c:numCache>
                <c:formatCode>General</c:formatCode>
                <c:ptCount val="4"/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17456904"/>
        <c:axId val="517446712"/>
      </c:barChart>
      <c:catAx>
        <c:axId val="517456904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crossAx val="517446712"/>
        <c:crosses val="autoZero"/>
        <c:auto val="1"/>
        <c:lblAlgn val="ctr"/>
        <c:lblOffset val="100"/>
        <c:noMultiLvlLbl val="0"/>
      </c:catAx>
      <c:valAx>
        <c:axId val="517446712"/>
        <c:scaling>
          <c:orientation val="minMax"/>
        </c:scaling>
        <c:delete val="0"/>
        <c:axPos val="l"/>
        <c:majorGridlines/>
        <c:numFmt formatCode="General" sourceLinked="1"/>
        <c:majorTickMark val="out"/>
        <c:minorTickMark val="none"/>
        <c:tickLblPos val="nextTo"/>
        <c:crossAx val="517456904"/>
        <c:crosses val="autoZero"/>
        <c:crossBetween val="between"/>
      </c:valAx>
    </c:plotArea>
    <c:legend>
      <c:legendPos val="r"/>
      <c:layout/>
      <c:overlay val="0"/>
    </c:legend>
    <c:plotVisOnly val="1"/>
    <c:dispBlanksAs val="gap"/>
    <c:showDLblsOverMax val="0"/>
  </c:chart>
  <c:txPr>
    <a:bodyPr/>
    <a:lstStyle/>
    <a:p>
      <a:pPr>
        <a:defRPr baseline="0">
          <a:latin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'[4]1.24 ГПН'!$C$2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ГПН'!$C$3</c:f>
              <c:numCache>
                <c:formatCode>General</c:formatCode>
                <c:ptCount val="1"/>
                <c:pt idx="0">
                  <c:v>102915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38B-48CA-B312-254A32A09667}"/>
            </c:ext>
          </c:extLst>
        </c:ser>
        <c:ser>
          <c:idx val="1"/>
          <c:order val="1"/>
          <c:tx>
            <c:strRef>
              <c:f>'[4]1.24 ГПН'!$D$2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ГПН'!$D$3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838B-48CA-B312-254A32A0966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47456"/>
        <c:axId val="776649024"/>
      </c:barChart>
      <c:catAx>
        <c:axId val="77664745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49024"/>
        <c:crosses val="autoZero"/>
        <c:auto val="1"/>
        <c:lblAlgn val="ctr"/>
        <c:lblOffset val="100"/>
        <c:noMultiLvlLbl val="0"/>
      </c:catAx>
      <c:valAx>
        <c:axId val="7766490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474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'[4]1.24 ГПН'!$I$2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ГПН'!$I$3</c:f>
              <c:numCache>
                <c:formatCode>General</c:formatCode>
                <c:ptCount val="1"/>
                <c:pt idx="0">
                  <c:v>678047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BDC4-412A-8994-26161CD0A612}"/>
            </c:ext>
          </c:extLst>
        </c:ser>
        <c:ser>
          <c:idx val="1"/>
          <c:order val="1"/>
          <c:tx>
            <c:strRef>
              <c:f>'[4]1.24 ГПН'!$J$2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ГПН'!$J$3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BDC4-412A-8994-26161CD0A61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40400"/>
        <c:axId val="776647848"/>
      </c:barChart>
      <c:catAx>
        <c:axId val="776640400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47848"/>
        <c:crosses val="autoZero"/>
        <c:auto val="1"/>
        <c:lblAlgn val="ctr"/>
        <c:lblOffset val="100"/>
        <c:noMultiLvlLbl val="0"/>
      </c:catAx>
      <c:valAx>
        <c:axId val="7766478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404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'[4]1.24 ГПН'!$I$16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ГПН'!$I$17</c:f>
              <c:numCache>
                <c:formatCode>General</c:formatCode>
                <c:ptCount val="1"/>
                <c:pt idx="0">
                  <c:v>177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7532-4005-89E2-D04D20F9CA82}"/>
            </c:ext>
          </c:extLst>
        </c:ser>
        <c:ser>
          <c:idx val="1"/>
          <c:order val="1"/>
          <c:tx>
            <c:strRef>
              <c:f>'[4]1.24 ГПН'!$J$16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ГПН'!$J$17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7532-4005-89E2-D04D20F9CA8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48240"/>
        <c:axId val="776658432"/>
      </c:barChart>
      <c:catAx>
        <c:axId val="776648240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58432"/>
        <c:crosses val="autoZero"/>
        <c:auto val="1"/>
        <c:lblAlgn val="ctr"/>
        <c:lblOffset val="100"/>
        <c:noMultiLvlLbl val="0"/>
      </c:catAx>
      <c:valAx>
        <c:axId val="776658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482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'[4]1.24 ГПН'!$C$16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B13A-48EC-B852-C8CF56135CC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ГПН'!$C$17</c:f>
              <c:numCache>
                <c:formatCode>General</c:formatCode>
                <c:ptCount val="1"/>
                <c:pt idx="0">
                  <c:v>66122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B13A-48EC-B852-C8CF56135CC3}"/>
            </c:ext>
          </c:extLst>
        </c:ser>
        <c:ser>
          <c:idx val="1"/>
          <c:order val="1"/>
          <c:tx>
            <c:strRef>
              <c:f>'[4]1.24 ГПН'!$D$16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'[4]1.24 ГПН'!$D$17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B13A-48EC-B852-C8CF56135CC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63528"/>
        <c:axId val="776659216"/>
      </c:barChart>
      <c:catAx>
        <c:axId val="77666352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59216"/>
        <c:crosses val="autoZero"/>
        <c:auto val="1"/>
        <c:lblAlgn val="ctr"/>
        <c:lblOffset val="100"/>
        <c:noMultiLvlLbl val="0"/>
      </c:catAx>
      <c:valAx>
        <c:axId val="776659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63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'[4]1.24 ГПН'!$C$29</c:f>
              <c:strCache>
                <c:ptCount val="1"/>
                <c:pt idx="0">
                  <c:v>2022 год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'[4]1.24 ГПН'!$B$30:$B$31</c:f>
              <c:strCache>
                <c:ptCount val="2"/>
                <c:pt idx="0">
                  <c:v>Плановые </c:v>
                </c:pt>
                <c:pt idx="1">
                  <c:v>Внеплановые</c:v>
                </c:pt>
              </c:strCache>
            </c:strRef>
          </c:cat>
          <c:val>
            <c:numRef>
              <c:f>'[4]1.24 ГПН'!$C$30:$C$31</c:f>
              <c:numCache>
                <c:formatCode>General</c:formatCode>
                <c:ptCount val="2"/>
                <c:pt idx="0">
                  <c:v>377</c:v>
                </c:pt>
                <c:pt idx="1">
                  <c:v>111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CAD7-4BEA-BA61-81347EB10502}"/>
            </c:ext>
          </c:extLst>
        </c:ser>
        <c:ser>
          <c:idx val="1"/>
          <c:order val="1"/>
          <c:tx>
            <c:strRef>
              <c:f>'[4]1.24 ГПН'!$D$29</c:f>
              <c:strCache>
                <c:ptCount val="1"/>
                <c:pt idx="0">
                  <c:v>2023 год 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'[4]1.24 ГПН'!$B$30:$B$31</c:f>
              <c:strCache>
                <c:ptCount val="2"/>
                <c:pt idx="0">
                  <c:v>Плановые </c:v>
                </c:pt>
                <c:pt idx="1">
                  <c:v>Внеплановые</c:v>
                </c:pt>
              </c:strCache>
            </c:strRef>
          </c:cat>
          <c:val>
            <c:numRef>
              <c:f>'[4]1.24 ГПН'!$D$30:$D$31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CAD7-4BEA-BA61-81347EB1050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776661568"/>
        <c:axId val="776651768"/>
      </c:barChart>
      <c:catAx>
        <c:axId val="77666156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51768"/>
        <c:crosses val="autoZero"/>
        <c:auto val="1"/>
        <c:lblAlgn val="ctr"/>
        <c:lblOffset val="100"/>
        <c:noMultiLvlLbl val="0"/>
      </c:catAx>
      <c:valAx>
        <c:axId val="77665176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Количество проверок, ед.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ru-RU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61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787270341207349"/>
          <c:y val="6.4859856381746586E-2"/>
          <c:w val="0.73423840769903748"/>
          <c:h val="0.73558774228968427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'[4]1.24 ГПН'!$I$29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'[4]1.24 ГПН'!$H$30</c:f>
              <c:strCache>
                <c:ptCount val="1"/>
                <c:pt idx="0">
                  <c:v>Количество выданных предписаний</c:v>
                </c:pt>
              </c:strCache>
            </c:strRef>
          </c:cat>
          <c:val>
            <c:numRef>
              <c:f>'[4]1.24 ГПН'!$I$30</c:f>
              <c:numCache>
                <c:formatCode>General</c:formatCode>
                <c:ptCount val="1"/>
                <c:pt idx="0">
                  <c:v>114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4C2-480A-BAA8-AD484CE2EF92}"/>
            </c:ext>
          </c:extLst>
        </c:ser>
        <c:ser>
          <c:idx val="1"/>
          <c:order val="1"/>
          <c:tx>
            <c:strRef>
              <c:f>'[4]1.24 ГПН'!$J$29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'[4]1.24 ГПН'!$H$30</c:f>
              <c:strCache>
                <c:ptCount val="1"/>
                <c:pt idx="0">
                  <c:v>Количество выданных предписаний</c:v>
                </c:pt>
              </c:strCache>
            </c:strRef>
          </c:cat>
          <c:val>
            <c:numRef>
              <c:f>'[4]1.24 ГПН'!$J$30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4C2-480A-BAA8-AD484CE2EF9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776652944"/>
        <c:axId val="776674896"/>
      </c:barChart>
      <c:catAx>
        <c:axId val="776652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74896"/>
        <c:crosses val="autoZero"/>
        <c:auto val="1"/>
        <c:lblAlgn val="ctr"/>
        <c:lblOffset val="100"/>
        <c:noMultiLvlLbl val="0"/>
      </c:catAx>
      <c:valAx>
        <c:axId val="7766748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52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'[4]1.25 Лицензир-е'!$X$8:$X$15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'[4]1.25 Лицензир-е'!$Y$8:$Y$15</c:f>
              <c:numCache>
                <c:formatCode>General</c:formatCode>
                <c:ptCount val="8"/>
                <c:pt idx="0">
                  <c:v>139</c:v>
                </c:pt>
                <c:pt idx="1">
                  <c:v>305</c:v>
                </c:pt>
                <c:pt idx="2">
                  <c:v>325</c:v>
                </c:pt>
                <c:pt idx="3">
                  <c:v>556</c:v>
                </c:pt>
                <c:pt idx="4">
                  <c:v>240</c:v>
                </c:pt>
                <c:pt idx="5">
                  <c:v>69</c:v>
                </c:pt>
                <c:pt idx="6">
                  <c:v>440</c:v>
                </c:pt>
                <c:pt idx="7">
                  <c:v>905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8EF-42D7-8E7C-D45CB68C837B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'[4]1.25 Лицензир-е'!$X$8:$X$15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'[4]1.25 Лицензир-е'!$AA$8:$AA$15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8EF-42D7-8E7C-D45CB68C837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776688616"/>
        <c:axId val="776687832"/>
      </c:barChart>
      <c:catAx>
        <c:axId val="77668861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7832"/>
        <c:crosses val="autoZero"/>
        <c:auto val="1"/>
        <c:lblAlgn val="ctr"/>
        <c:lblOffset val="100"/>
        <c:noMultiLvlLbl val="0"/>
      </c:catAx>
      <c:valAx>
        <c:axId val="7766878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Количество лицензий, ед.</a:t>
                </a:r>
              </a:p>
            </c:rich>
          </c:tx>
          <c:layout>
            <c:manualLayout>
              <c:xMode val="edge"/>
              <c:yMode val="edge"/>
              <c:x val="0.31975568678915139"/>
              <c:y val="0.8051844561096529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ru-RU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86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82875021872265964"/>
          <c:y val="0.82928186060075804"/>
          <c:w val="0.12305489938757655"/>
          <c:h val="0.1105329542140565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'[4]1.25 Лицензир-е'!$X$8:$X$15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'[4]1.25 Лицензир-е'!$Z$8:$Z$15</c:f>
              <c:numCache>
                <c:formatCode>General</c:formatCode>
                <c:ptCount val="8"/>
                <c:pt idx="0">
                  <c:v>183</c:v>
                </c:pt>
                <c:pt idx="1">
                  <c:v>274</c:v>
                </c:pt>
                <c:pt idx="2">
                  <c:v>298</c:v>
                </c:pt>
                <c:pt idx="3">
                  <c:v>368</c:v>
                </c:pt>
                <c:pt idx="4">
                  <c:v>207</c:v>
                </c:pt>
                <c:pt idx="5">
                  <c:v>51</c:v>
                </c:pt>
                <c:pt idx="6">
                  <c:v>443</c:v>
                </c:pt>
                <c:pt idx="7">
                  <c:v>588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78BB-4F3B-BC95-D103AD8A9E5D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'[4]1.25 Лицензир-е'!$X$8:$X$15</c:f>
              <c:strCache>
                <c:ptCount val="8"/>
                <c:pt idx="0">
                  <c:v>ДФО</c:v>
                </c:pt>
                <c:pt idx="1">
                  <c:v>СФО</c:v>
                </c:pt>
                <c:pt idx="2">
                  <c:v>УФО</c:v>
                </c:pt>
                <c:pt idx="3">
                  <c:v>ПФО</c:v>
                </c:pt>
                <c:pt idx="4">
                  <c:v>ЮФО</c:v>
                </c:pt>
                <c:pt idx="5">
                  <c:v>СКФО</c:v>
                </c:pt>
                <c:pt idx="6">
                  <c:v>СЗФО</c:v>
                </c:pt>
                <c:pt idx="7">
                  <c:v>ЦФО</c:v>
                </c:pt>
              </c:strCache>
            </c:strRef>
          </c:cat>
          <c:val>
            <c:numRef>
              <c:f>'[4]1.25 Лицензир-е'!$AB$8:$AB$15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78BB-4F3B-BC95-D103AD8A9E5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776682344"/>
        <c:axId val="776681560"/>
      </c:barChart>
      <c:catAx>
        <c:axId val="7766823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1560"/>
        <c:crosses val="autoZero"/>
        <c:auto val="1"/>
        <c:lblAlgn val="ctr"/>
        <c:lblOffset val="100"/>
        <c:noMultiLvlLbl val="0"/>
      </c:catAx>
      <c:valAx>
        <c:axId val="77668156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23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ru-RU"/>
              <a:t>Лицензирование деятельноси по тушению пожаров  в населенных пунктах, на производственных объектах и объектах инфраструктуры 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'[4]1.25 Лицензир-е'!$AG$6:$AR$6</c:f>
              <c:numCache>
                <c:formatCode>General</c:formatCod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</c:v>
                </c:pt>
              </c:numCache>
            </c:numRef>
          </c:cat>
          <c:val>
            <c:numRef>
              <c:f>'[4]1.25 Лицензир-е'!$AG$7:$AR$7</c:f>
              <c:numCache>
                <c:formatCode>General</c:formatCode>
                <c:ptCount val="12"/>
                <c:pt idx="0">
                  <c:v>189</c:v>
                </c:pt>
                <c:pt idx="1">
                  <c:v>171</c:v>
                </c:pt>
                <c:pt idx="2">
                  <c:v>86</c:v>
                </c:pt>
                <c:pt idx="3">
                  <c:v>98</c:v>
                </c:pt>
                <c:pt idx="4">
                  <c:v>133</c:v>
                </c:pt>
                <c:pt idx="5">
                  <c:v>125</c:v>
                </c:pt>
                <c:pt idx="6">
                  <c:v>42</c:v>
                </c:pt>
                <c:pt idx="7">
                  <c:v>66</c:v>
                </c:pt>
                <c:pt idx="8">
                  <c:v>43</c:v>
                </c:pt>
                <c:pt idx="9">
                  <c:v>27</c:v>
                </c:pt>
                <c:pt idx="10">
                  <c:v>22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FDFC-4DE3-B502-74143E540D2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776680384"/>
        <c:axId val="776683128"/>
      </c:lineChart>
      <c:catAx>
        <c:axId val="7766803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3128"/>
        <c:crosses val="autoZero"/>
        <c:auto val="1"/>
        <c:lblAlgn val="ctr"/>
        <c:lblOffset val="100"/>
        <c:noMultiLvlLbl val="0"/>
      </c:catAx>
      <c:valAx>
        <c:axId val="7766831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038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ru-RU"/>
              <a:t>Лицензирование деятельности по монтажу, техническому обслуживанию и ремонту средств обеспечения пожарной безопасности зданий и сооружений  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dLbl>
              <c:idx val="0"/>
              <c:layout>
                <c:manualLayout>
                  <c:x val="-3.8786281697914211E-2"/>
                  <c:y val="5.10102736224670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"/>
              <c:layout>
                <c:manualLayout>
                  <c:x val="-4.7097627776038702E-2"/>
                  <c:y val="-5.564757122450946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2"/>
              <c:layout>
                <c:manualLayout>
                  <c:x val="-4.1556730390622361E-2"/>
                  <c:y val="4.637297602042455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2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3"/>
              <c:layout>
                <c:manualLayout>
                  <c:x val="-5.2638525161455035E-2"/>
                  <c:y val="-4.637297602042458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3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4"/>
              <c:layout>
                <c:manualLayout>
                  <c:x val="-1.3852243463540786E-2"/>
                  <c:y val="-3.709838081633964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4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5"/>
              <c:layout>
                <c:manualLayout>
                  <c:x val="-1.3852243463540786E-2"/>
                  <c:y val="-4.6372976020424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5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6"/>
              <c:layout>
                <c:manualLayout>
                  <c:x val="-5.5408973854163199E-2"/>
                  <c:y val="6.492216642859438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6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7"/>
              <c:layout>
                <c:manualLayout>
                  <c:x val="-2.2163589541665259E-2"/>
                  <c:y val="-5.564757122450946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7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9"/>
              <c:layout>
                <c:manualLayout>
                  <c:x val="-4.1556730390622361E-2"/>
                  <c:y val="5.564757122450946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8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0"/>
              <c:layout>
                <c:manualLayout>
                  <c:x val="-1.0158194524933259E-16"/>
                  <c:y val="-2.318648801021227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9-4C77-4F64-BBBC-B2030878D03E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'[4]1.25 Лицензир-е'!$AG$6:$AR$6</c:f>
              <c:numCache>
                <c:formatCode>General</c:formatCod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</c:v>
                </c:pt>
              </c:numCache>
            </c:numRef>
          </c:cat>
          <c:val>
            <c:numRef>
              <c:f>'[4]1.25 Лицензир-е'!$AG$8:$AR$8</c:f>
              <c:numCache>
                <c:formatCode>General</c:formatCode>
                <c:ptCount val="12"/>
                <c:pt idx="0">
                  <c:v>4923</c:v>
                </c:pt>
                <c:pt idx="1">
                  <c:v>5874</c:v>
                </c:pt>
                <c:pt idx="2">
                  <c:v>5633</c:v>
                </c:pt>
                <c:pt idx="3">
                  <c:v>6153</c:v>
                </c:pt>
                <c:pt idx="4">
                  <c:v>5520</c:v>
                </c:pt>
                <c:pt idx="5">
                  <c:v>4767</c:v>
                </c:pt>
                <c:pt idx="6">
                  <c:v>4174</c:v>
                </c:pt>
                <c:pt idx="7">
                  <c:v>4412</c:v>
                </c:pt>
                <c:pt idx="8">
                  <c:v>4248</c:v>
                </c:pt>
                <c:pt idx="9">
                  <c:v>2701</c:v>
                </c:pt>
                <c:pt idx="10">
                  <c:v>2957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A-4C77-4F64-BBBC-B2030878D03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776682736"/>
        <c:axId val="776686264"/>
      </c:lineChart>
      <c:catAx>
        <c:axId val="776682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6264"/>
        <c:crosses val="autoZero"/>
        <c:auto val="1"/>
        <c:lblAlgn val="ctr"/>
        <c:lblOffset val="100"/>
        <c:noMultiLvlLbl val="0"/>
      </c:catAx>
      <c:valAx>
        <c:axId val="7766862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273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Лицензир-е'!$D$6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Лицензир-е'!$D$7</c:f>
              <c:numCache>
                <c:formatCode>General</c:formatCode>
                <c:ptCount val="1"/>
                <c:pt idx="0">
                  <c:v>55185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B590-468E-872C-7CCC2BEBA305}"/>
            </c:ext>
          </c:extLst>
        </c:ser>
        <c:ser>
          <c:idx val="1"/>
          <c:order val="1"/>
          <c:tx>
            <c:strRef>
              <c:f>'[4]1.25 Лицензир-е'!$E$6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Лицензир-е'!$E$7</c:f>
              <c:numCache>
                <c:formatCode>General</c:formatCode>
                <c:ptCount val="1"/>
                <c:pt idx="0">
                  <c:v>20000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B590-468E-872C-7CCC2BEBA30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88224"/>
        <c:axId val="776676856"/>
      </c:barChart>
      <c:catAx>
        <c:axId val="77668822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76856"/>
        <c:crosses val="autoZero"/>
        <c:auto val="1"/>
        <c:lblAlgn val="ctr"/>
        <c:lblOffset val="100"/>
        <c:noMultiLvlLbl val="0"/>
      </c:catAx>
      <c:valAx>
        <c:axId val="7766768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822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Лицензир-е'!$D$20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Лицензир-е'!$D$21</c:f>
              <c:numCache>
                <c:formatCode>General</c:formatCode>
                <c:ptCount val="1"/>
                <c:pt idx="0">
                  <c:v>2367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B925-4182-89D2-90294B7DC7CA}"/>
            </c:ext>
          </c:extLst>
        </c:ser>
        <c:ser>
          <c:idx val="1"/>
          <c:order val="1"/>
          <c:tx>
            <c:strRef>
              <c:f>'[4]1.25 Лицензир-е'!$E$20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Лицензир-е'!$E$21</c:f>
              <c:numCache>
                <c:formatCode>General</c:formatCode>
                <c:ptCount val="1"/>
                <c:pt idx="0">
                  <c:v>20000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B925-4182-89D2-90294B7DC7C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76464"/>
        <c:axId val="776683912"/>
      </c:barChart>
      <c:catAx>
        <c:axId val="7766764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3912"/>
        <c:crosses val="autoZero"/>
        <c:auto val="1"/>
        <c:lblAlgn val="ctr"/>
        <c:lblOffset val="100"/>
        <c:noMultiLvlLbl val="0"/>
      </c:catAx>
      <c:valAx>
        <c:axId val="7766839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764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Лицензир-е'!$J$6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Лицензир-е'!$J$7</c:f>
              <c:numCache>
                <c:formatCode>General</c:formatCode>
                <c:ptCount val="1"/>
                <c:pt idx="0">
                  <c:v>1154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1BF-4C41-BCB2-A385B002902A}"/>
            </c:ext>
          </c:extLst>
        </c:ser>
        <c:ser>
          <c:idx val="1"/>
          <c:order val="1"/>
          <c:tx>
            <c:strRef>
              <c:f>'[4]1.25 Лицензир-е'!$K$6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Лицензир-е'!$K$7</c:f>
              <c:numCache>
                <c:formatCode>General</c:formatCode>
                <c:ptCount val="1"/>
                <c:pt idx="0">
                  <c:v>500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61BF-4C41-BCB2-A385B002902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83520"/>
        <c:axId val="776686656"/>
      </c:barChart>
      <c:catAx>
        <c:axId val="7766835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6656"/>
        <c:crosses val="autoZero"/>
        <c:auto val="1"/>
        <c:lblAlgn val="ctr"/>
        <c:lblOffset val="100"/>
        <c:noMultiLvlLbl val="0"/>
      </c:catAx>
      <c:valAx>
        <c:axId val="7766866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352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Лицензир-е'!$J$20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Лицензир-е'!$J$21</c:f>
              <c:numCache>
                <c:formatCode>General</c:formatCode>
                <c:ptCount val="1"/>
                <c:pt idx="0">
                  <c:v>45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FDD8-492F-8E01-45ABCBC9DBD9}"/>
            </c:ext>
          </c:extLst>
        </c:ser>
        <c:ser>
          <c:idx val="1"/>
          <c:order val="1"/>
          <c:tx>
            <c:strRef>
              <c:f>'[4]1.25 Лицензир-е'!$K$20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Лицензир-е'!$K$21</c:f>
              <c:numCache>
                <c:formatCode>General</c:formatCode>
                <c:ptCount val="1"/>
                <c:pt idx="0">
                  <c:v>50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FDD8-492F-8E01-45ABCBC9DB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76685872"/>
        <c:axId val="776678424"/>
      </c:barChart>
      <c:catAx>
        <c:axId val="776685872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78424"/>
        <c:crosses val="autoZero"/>
        <c:auto val="1"/>
        <c:lblAlgn val="ctr"/>
        <c:lblOffset val="100"/>
        <c:noMultiLvlLbl val="0"/>
      </c:catAx>
      <c:valAx>
        <c:axId val="7766784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58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Лицензир-е'!$D$34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Лицензир-е'!$D$35</c:f>
              <c:numCache>
                <c:formatCode>General</c:formatCode>
                <c:ptCount val="1"/>
                <c:pt idx="0">
                  <c:v>2957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899-4700-AE67-89B78948E1BA}"/>
            </c:ext>
          </c:extLst>
        </c:ser>
        <c:ser>
          <c:idx val="1"/>
          <c:order val="1"/>
          <c:tx>
            <c:strRef>
              <c:f>'[4]1.25 Лицензир-е'!$E$34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Лицензир-е'!$E$35</c:f>
              <c:numCache>
                <c:formatCode>General</c:formatCode>
                <c:ptCount val="1"/>
                <c:pt idx="0">
                  <c:v>5555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899-4700-AE67-89B78948E1B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76685088"/>
        <c:axId val="776681168"/>
      </c:barChart>
      <c:catAx>
        <c:axId val="77668508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81168"/>
        <c:crosses val="autoZero"/>
        <c:auto val="1"/>
        <c:lblAlgn val="ctr"/>
        <c:lblOffset val="100"/>
        <c:noMultiLvlLbl val="0"/>
      </c:catAx>
      <c:valAx>
        <c:axId val="7766811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8508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Лицензир-е'!$D$48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Лицензир-е'!$D$49</c:f>
              <c:numCache>
                <c:formatCode>General</c:formatCode>
                <c:ptCount val="1"/>
                <c:pt idx="0">
                  <c:v>1269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F08C-429C-8C19-49506AE4F4D4}"/>
            </c:ext>
          </c:extLst>
        </c:ser>
        <c:ser>
          <c:idx val="1"/>
          <c:order val="1"/>
          <c:tx>
            <c:strRef>
              <c:f>'[4]1.25 Лицензир-е'!$E$48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Лицензир-е'!$E$49</c:f>
              <c:numCache>
                <c:formatCode>General</c:formatCode>
                <c:ptCount val="1"/>
                <c:pt idx="0">
                  <c:v>555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F08C-429C-8C19-49506AE4F4D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79992"/>
        <c:axId val="776684304"/>
      </c:barChart>
      <c:catAx>
        <c:axId val="776679992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84304"/>
        <c:crosses val="autoZero"/>
        <c:auto val="1"/>
        <c:lblAlgn val="ctr"/>
        <c:lblOffset val="100"/>
        <c:noMultiLvlLbl val="0"/>
      </c:catAx>
      <c:valAx>
        <c:axId val="7766843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799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Лицензир-е'!$J$34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Лицензир-е'!$J$35</c:f>
              <c:numCache>
                <c:formatCode>General</c:formatCode>
                <c:ptCount val="1"/>
                <c:pt idx="0">
                  <c:v>22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AEF-4D01-9681-FAA3196985A6}"/>
            </c:ext>
          </c:extLst>
        </c:ser>
        <c:ser>
          <c:idx val="1"/>
          <c:order val="1"/>
          <c:tx>
            <c:strRef>
              <c:f>'[4]1.25 Лицензир-е'!$K$34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Лицензир-е'!$K$35</c:f>
              <c:numCache>
                <c:formatCode>General</c:formatCode>
                <c:ptCount val="1"/>
                <c:pt idx="0">
                  <c:v>55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AAEF-4D01-9681-FAA3196985A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90968"/>
        <c:axId val="776699592"/>
      </c:barChart>
      <c:catAx>
        <c:axId val="77669096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99592"/>
        <c:crosses val="autoZero"/>
        <c:auto val="1"/>
        <c:lblAlgn val="ctr"/>
        <c:lblOffset val="100"/>
        <c:noMultiLvlLbl val="0"/>
      </c:catAx>
      <c:valAx>
        <c:axId val="7766995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909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'[4]1.25 Лицензир-е'!$J$48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Лицензир-е'!$J$49</c:f>
              <c:numCache>
                <c:formatCode>General</c:formatCode>
                <c:ptCount val="1"/>
                <c:pt idx="0">
                  <c:v>57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930-4A92-B515-B8B4C9552B15}"/>
            </c:ext>
          </c:extLst>
        </c:ser>
        <c:ser>
          <c:idx val="1"/>
          <c:order val="1"/>
          <c:tx>
            <c:strRef>
              <c:f>'[4]1.25 Лицензир-е'!$K$48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'[4]1.25 Лицензир-е'!$K$49</c:f>
              <c:numCache>
                <c:formatCode>General</c:formatCode>
                <c:ptCount val="1"/>
                <c:pt idx="0">
                  <c:v>555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8930-4A92-B515-B8B4C9552B1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76691752"/>
        <c:axId val="776689792"/>
      </c:barChart>
      <c:catAx>
        <c:axId val="776691752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776689792"/>
        <c:crosses val="autoZero"/>
        <c:auto val="1"/>
        <c:lblAlgn val="ctr"/>
        <c:lblOffset val="100"/>
        <c:noMultiLvlLbl val="0"/>
      </c:catAx>
      <c:valAx>
        <c:axId val="7766897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76691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'[4]1.26 ГИМС'!$D$4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'[4]1.26 ГИМС'!$C$5:$C$6</c:f>
              <c:strCache>
                <c:ptCount val="2"/>
                <c:pt idx="0">
                  <c:v>маломерных судов</c:v>
                </c:pt>
                <c:pt idx="1">
                  <c:v>аттестованных судоводителей, всего</c:v>
                </c:pt>
              </c:strCache>
            </c:strRef>
          </c:cat>
          <c:val>
            <c:numRef>
              <c:f>'[4]1.26 ГИМС'!$D$5:$D$6</c:f>
              <c:numCache>
                <c:formatCode>General</c:formatCode>
                <c:ptCount val="2"/>
                <c:pt idx="0">
                  <c:v>1530816</c:v>
                </c:pt>
                <c:pt idx="1">
                  <c:v>1510457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0D2A-4A14-A388-626495BFEE60}"/>
            </c:ext>
          </c:extLst>
        </c:ser>
        <c:ser>
          <c:idx val="1"/>
          <c:order val="1"/>
          <c:tx>
            <c:strRef>
              <c:f>'[4]1.26 ГИМС'!$E$4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cat>
            <c:strRef>
              <c:f>'[4]1.26 ГИМС'!$C$5:$C$6</c:f>
              <c:strCache>
                <c:ptCount val="2"/>
                <c:pt idx="0">
                  <c:v>маломерных судов</c:v>
                </c:pt>
                <c:pt idx="1">
                  <c:v>аттестованных судоводителей, всего</c:v>
                </c:pt>
              </c:strCache>
            </c:strRef>
          </c:cat>
          <c:val>
            <c:numRef>
              <c:f>'[4]1.26 ГИМС'!$E$5:$E$6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0D2A-4A14-A388-626495BFEE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43869792"/>
        <c:axId val="743873712"/>
      </c:barChart>
      <c:catAx>
        <c:axId val="7438697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73712"/>
        <c:crosses val="autoZero"/>
        <c:auto val="1"/>
        <c:lblAlgn val="ctr"/>
        <c:lblOffset val="100"/>
        <c:noMultiLvlLbl val="0"/>
      </c:catAx>
      <c:valAx>
        <c:axId val="7438737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697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'[4]1.26 ГИМС'!$D$16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'[4]1.26 ГИМС'!$C$17:$C$21</c:f>
              <c:strCache>
                <c:ptCount val="5"/>
                <c:pt idx="0">
                  <c:v>база (сооружение) для стоянок маломерных судов</c:v>
                </c:pt>
                <c:pt idx="1">
                  <c:v>переправа (кроме паромных переправ), на которых используются маломерные суда</c:v>
                </c:pt>
                <c:pt idx="2">
                  <c:v>пляжей, специально оборудованных  для купания</c:v>
                </c:pt>
                <c:pt idx="3">
                  <c:v>ледовых переправ</c:v>
                </c:pt>
                <c:pt idx="4">
                  <c:v>наплавных мостов за пределами ВВП РФ</c:v>
                </c:pt>
              </c:strCache>
            </c:strRef>
          </c:cat>
          <c:val>
            <c:numRef>
              <c:f>'[4]1.26 ГИМС'!$D$17:$D$21</c:f>
              <c:numCache>
                <c:formatCode>General</c:formatCode>
                <c:ptCount val="5"/>
                <c:pt idx="0">
                  <c:v>1921</c:v>
                </c:pt>
                <c:pt idx="1">
                  <c:v>81</c:v>
                </c:pt>
                <c:pt idx="2">
                  <c:v>3287</c:v>
                </c:pt>
                <c:pt idx="3">
                  <c:v>1005</c:v>
                </c:pt>
                <c:pt idx="4">
                  <c:v>104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150-4B7C-B09C-0CB8CD5CE1BE}"/>
            </c:ext>
          </c:extLst>
        </c:ser>
        <c:ser>
          <c:idx val="1"/>
          <c:order val="1"/>
          <c:tx>
            <c:strRef>
              <c:f>'[4]1.26 ГИМС'!$E$16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'[4]1.26 ГИМС'!$C$17:$C$21</c:f>
              <c:strCache>
                <c:ptCount val="5"/>
                <c:pt idx="0">
                  <c:v>база (сооружение) для стоянок маломерных судов</c:v>
                </c:pt>
                <c:pt idx="1">
                  <c:v>переправа (кроме паромных переправ), на которых используются маломерные суда</c:v>
                </c:pt>
                <c:pt idx="2">
                  <c:v>пляжей, специально оборудованных  для купания</c:v>
                </c:pt>
                <c:pt idx="3">
                  <c:v>ледовых переправ</c:v>
                </c:pt>
                <c:pt idx="4">
                  <c:v>наплавных мостов за пределами ВВП РФ</c:v>
                </c:pt>
              </c:strCache>
            </c:strRef>
          </c:cat>
          <c:val>
            <c:numRef>
              <c:f>'[4]1.26 ГИМС'!$E$17:$E$21</c:f>
              <c:numCache>
                <c:formatCode>General</c:formatCode>
                <c:ptCount val="5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150-4B7C-B09C-0CB8CD5CE1B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43870184"/>
        <c:axId val="743874496"/>
      </c:barChart>
      <c:catAx>
        <c:axId val="7438701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74496"/>
        <c:crosses val="autoZero"/>
        <c:auto val="1"/>
        <c:lblAlgn val="ctr"/>
        <c:lblOffset val="100"/>
        <c:noMultiLvlLbl val="0"/>
      </c:catAx>
      <c:valAx>
        <c:axId val="7438744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701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'[4]1.26 ГИМС'!$D$29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'[4]1.26 ГИМС'!$C$30:$C$32</c:f>
              <c:strCache>
                <c:ptCount val="3"/>
                <c:pt idx="0">
                  <c:v>услуги по регистрации
маломерных судов</c:v>
                </c:pt>
                <c:pt idx="1">
                  <c:v>услуги по аттестации на право управления маломерным судном</c:v>
                </c:pt>
                <c:pt idx="2">
                  <c:v>услуг по свидетельствованию маломерных судов</c:v>
                </c:pt>
              </c:strCache>
            </c:strRef>
          </c:cat>
          <c:val>
            <c:numRef>
              <c:f>'[4]1.26 ГИМС'!$D$30:$D$32</c:f>
              <c:numCache>
                <c:formatCode>General</c:formatCode>
                <c:ptCount val="3"/>
                <c:pt idx="0">
                  <c:v>79521</c:v>
                </c:pt>
                <c:pt idx="1">
                  <c:v>67372</c:v>
                </c:pt>
                <c:pt idx="2">
                  <c:v>55606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252-49E6-95F5-F834E7FAFAA8}"/>
            </c:ext>
          </c:extLst>
        </c:ser>
        <c:ser>
          <c:idx val="1"/>
          <c:order val="1"/>
          <c:tx>
            <c:strRef>
              <c:f>'[4]1.26 ГИМС'!$E$29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'[4]1.26 ГИМС'!$C$30:$C$32</c:f>
              <c:strCache>
                <c:ptCount val="3"/>
                <c:pt idx="0">
                  <c:v>услуги по регистрации
маломерных судов</c:v>
                </c:pt>
                <c:pt idx="1">
                  <c:v>услуги по аттестации на право управления маломерным судном</c:v>
                </c:pt>
                <c:pt idx="2">
                  <c:v>услуг по свидетельствованию маломерных судов</c:v>
                </c:pt>
              </c:strCache>
            </c:strRef>
          </c:cat>
          <c:val>
            <c:numRef>
              <c:f>'[4]1.26 ГИМС'!$E$30:$E$32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4252-49E6-95F5-F834E7FAFAA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43863912"/>
        <c:axId val="743874888"/>
      </c:barChart>
      <c:catAx>
        <c:axId val="7438639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74888"/>
        <c:crosses val="autoZero"/>
        <c:auto val="1"/>
        <c:lblAlgn val="ctr"/>
        <c:lblOffset val="100"/>
        <c:noMultiLvlLbl val="0"/>
      </c:catAx>
      <c:valAx>
        <c:axId val="7438748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639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'[4]1.26 ГИМС'!$D$44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'[4]1.26 ГИМС'!$C$45:$C$47</c:f>
              <c:strCache>
                <c:ptCount val="3"/>
                <c:pt idx="0">
                  <c:v>нарушений</c:v>
                </c:pt>
                <c:pt idx="1">
                  <c:v>штрафов</c:v>
                </c:pt>
                <c:pt idx="2">
                  <c:v>патрулирований на водных объектах</c:v>
                </c:pt>
              </c:strCache>
            </c:strRef>
          </c:cat>
          <c:val>
            <c:numRef>
              <c:f>'[4]1.26 ГИМС'!$D$45:$D$47</c:f>
              <c:numCache>
                <c:formatCode>General</c:formatCode>
                <c:ptCount val="3"/>
                <c:pt idx="0">
                  <c:v>30907</c:v>
                </c:pt>
                <c:pt idx="1">
                  <c:v>26397</c:v>
                </c:pt>
                <c:pt idx="2">
                  <c:v>88275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8D2-4487-88AC-86DC62556C61}"/>
            </c:ext>
          </c:extLst>
        </c:ser>
        <c:ser>
          <c:idx val="1"/>
          <c:order val="1"/>
          <c:tx>
            <c:strRef>
              <c:f>'[4]1.26 ГИМС'!$E$44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'[4]1.26 ГИМС'!$C$45:$C$47</c:f>
              <c:strCache>
                <c:ptCount val="3"/>
                <c:pt idx="0">
                  <c:v>нарушений</c:v>
                </c:pt>
                <c:pt idx="1">
                  <c:v>штрафов</c:v>
                </c:pt>
                <c:pt idx="2">
                  <c:v>патрулирований на водных объектах</c:v>
                </c:pt>
              </c:strCache>
            </c:strRef>
          </c:cat>
          <c:val>
            <c:numRef>
              <c:f>'[4]1.26 ГИМС'!$E$45:$E$47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28D2-4487-88AC-86DC62556C6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43865088"/>
        <c:axId val="743867048"/>
      </c:barChart>
      <c:catAx>
        <c:axId val="7438650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67048"/>
        <c:crosses val="autoZero"/>
        <c:auto val="1"/>
        <c:lblAlgn val="ctr"/>
        <c:lblOffset val="100"/>
        <c:noMultiLvlLbl val="0"/>
      </c:catAx>
      <c:valAx>
        <c:axId val="7438670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74386508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ru-RU"/>
              <a:t>Чрезвычайное гуманитарное реагирование, ед.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title>
    <c:autoTitleDeleted val="0"/>
    <c:plotArea>
      <c:layout/>
      <c:pieChart>
        <c:varyColors val="1"/>
        <c:ser>
          <c:idx val="0"/>
          <c:order val="0"/>
          <c:dPt>
            <c:idx val="0"/>
            <c:bubble3D val="0"/>
            <c:spPr>
              <a:solidFill>
                <a:srgbClr val="FFC000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4696-4E03-B02F-F53A4A9135DD}"/>
              </c:ext>
            </c:extLst>
          </c:dPt>
          <c:dPt>
            <c:idx val="1"/>
            <c:bubble3D val="0"/>
            <c:spPr>
              <a:solidFill>
                <a:schemeClr val="tx2"/>
              </a:solidFill>
              <a:ln w="19050">
                <a:solidFill>
                  <a:schemeClr val="lt1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4696-4E03-B02F-F53A4A9135D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'[4]1.27 ЧГР'!$D$3:$E$3</c:f>
              <c:strCache>
                <c:ptCount val="2"/>
                <c:pt idx="0">
                  <c:v>2022 г. </c:v>
                </c:pt>
                <c:pt idx="1">
                  <c:v>2023 г.</c:v>
                </c:pt>
              </c:strCache>
            </c:strRef>
          </c:cat>
          <c:val>
            <c:numRef>
              <c:f>'[4]1.27 ЧГР'!$D$10:$E$10</c:f>
              <c:numCache>
                <c:formatCode>General</c:formatCode>
                <c:ptCount val="2"/>
                <c:pt idx="0">
                  <c:v>35</c:v>
                </c:pt>
                <c:pt idx="1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4-4696-4E03-B02F-F53A4A9135D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r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ru-RU"/>
              <a:t>Оказание гуманитарной помощи</a:t>
            </a:r>
          </a:p>
        </c:rich>
      </c:tx>
      <c:layout/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'1.28 ГП ДНР ЛНР ХО ЗО'!$D$3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'1.28 ГП ДНР ЛНР ХО ЗО'!$C$4:$C$6</c:f>
              <c:numCache>
                <c:formatCode>General</c:formatCode>
                <c:ptCount val="3"/>
              </c:numCache>
            </c:numRef>
          </c:cat>
          <c:val>
            <c:numRef>
              <c:f>'1.28 ГП ДНР ЛНР ХО ЗО'!$D$4:$D$6</c:f>
              <c:numCache>
                <c:formatCode>General</c:formatCode>
                <c:ptCount val="3"/>
                <c:pt idx="0">
                  <c:v>1</c:v>
                </c:pt>
                <c:pt idx="1">
                  <c:v>1</c:v>
                </c:pt>
                <c:pt idx="2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CA2-4BFC-B0C4-A02357553A2F}"/>
            </c:ext>
          </c:extLst>
        </c:ser>
        <c:ser>
          <c:idx val="1"/>
          <c:order val="1"/>
          <c:tx>
            <c:strRef>
              <c:f>'1.28 ГП ДНР ЛНР ХО ЗО'!$E$3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'1.28 ГП ДНР ЛНР ХО ЗО'!$C$4:$C$6</c:f>
              <c:numCache>
                <c:formatCode>General</c:formatCode>
                <c:ptCount val="3"/>
              </c:numCache>
            </c:numRef>
          </c:cat>
          <c:val>
            <c:numRef>
              <c:f>'1.28 ГП ДНР ЛНР ХО ЗО'!$E$4:$E$6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8CA2-4BFC-B0C4-A02357553A2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55336"/>
        <c:axId val="517457688"/>
      </c:barChart>
      <c:catAx>
        <c:axId val="5174553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7688"/>
        <c:crosses val="autoZero"/>
        <c:auto val="1"/>
        <c:lblAlgn val="ctr"/>
        <c:lblOffset val="100"/>
        <c:noMultiLvlLbl val="0"/>
      </c:catAx>
      <c:valAx>
        <c:axId val="5174576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533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ru-RU"/>
              <a:t>Оказание гуманитарной помощи</a:t>
            </a:r>
          </a:p>
        </c:rich>
      </c:tx>
      <c:layout/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'1.28 ГП ДНР ЛНР ХО ЗО'!$D$15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'1.28 ГП ДНР ЛНР ХО ЗО'!$C$16:$C$18</c:f>
              <c:strCache>
                <c:ptCount val="3"/>
                <c:pt idx="0">
                  <c:v>колонн МЧС России</c:v>
                </c:pt>
                <c:pt idx="1">
                  <c:v>привлечено человек</c:v>
                </c:pt>
                <c:pt idx="2">
                  <c:v>единиц техники</c:v>
                </c:pt>
              </c:strCache>
            </c:strRef>
          </c:cat>
          <c:val>
            <c:numRef>
              <c:f>'1.28 ГП ДНР ЛНР ХО ЗО'!$D$16:$D$18</c:f>
              <c:numCache>
                <c:formatCode>General</c:formatCode>
                <c:ptCount val="3"/>
                <c:pt idx="0">
                  <c:v>1037</c:v>
                </c:pt>
                <c:pt idx="1">
                  <c:v>8218</c:v>
                </c:pt>
                <c:pt idx="2">
                  <c:v>2640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463-4C68-BF74-FF260A6208E0}"/>
            </c:ext>
          </c:extLst>
        </c:ser>
        <c:ser>
          <c:idx val="1"/>
          <c:order val="1"/>
          <c:tx>
            <c:strRef>
              <c:f>'1.28 ГП ДНР ЛНР ХО ЗО'!$E$15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'1.28 ГП ДНР ЛНР ХО ЗО'!$C$16:$C$18</c:f>
              <c:strCache>
                <c:ptCount val="3"/>
                <c:pt idx="0">
                  <c:v>колонн МЧС России</c:v>
                </c:pt>
                <c:pt idx="1">
                  <c:v>привлечено человек</c:v>
                </c:pt>
                <c:pt idx="2">
                  <c:v>единиц техники</c:v>
                </c:pt>
              </c:strCache>
            </c:strRef>
          </c:cat>
          <c:val>
            <c:numRef>
              <c:f>'1.28 ГП ДНР ЛНР ХО ЗО'!$E$16:$E$18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6463-4C68-BF74-FF260A6208E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48280"/>
        <c:axId val="517457296"/>
      </c:barChart>
      <c:catAx>
        <c:axId val="517448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7296"/>
        <c:crosses val="autoZero"/>
        <c:auto val="1"/>
        <c:lblAlgn val="ctr"/>
        <c:lblOffset val="100"/>
        <c:noMultiLvlLbl val="0"/>
      </c:catAx>
      <c:valAx>
        <c:axId val="517457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48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'1.29 авиац-е обесп-е'!$C$3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обесп-е'!$B$4:$B$6</c:f>
              <c:strCache>
                <c:ptCount val="3"/>
                <c:pt idx="0">
                  <c:v>Полетов</c:v>
                </c:pt>
                <c:pt idx="1">
                  <c:v>Общий налет, ч</c:v>
                </c:pt>
                <c:pt idx="2">
                  <c:v>Рейсов санитарной эвакуации</c:v>
                </c:pt>
              </c:strCache>
            </c:strRef>
          </c:cat>
          <c:val>
            <c:numRef>
              <c:f>'1.29 авиац-е обесп-е'!$C$4:$C$6</c:f>
              <c:numCache>
                <c:formatCode>General</c:formatCode>
                <c:ptCount val="3"/>
                <c:pt idx="0">
                  <c:v>1</c:v>
                </c:pt>
                <c:pt idx="1">
                  <c:v>1</c:v>
                </c:pt>
                <c:pt idx="2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5684-437A-859E-2847AA99A2EE}"/>
            </c:ext>
          </c:extLst>
        </c:ser>
        <c:ser>
          <c:idx val="1"/>
          <c:order val="1"/>
          <c:tx>
            <c:strRef>
              <c:f>'1.29 авиац-е обесп-е'!$D$3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обесп-е'!$B$4:$B$6</c:f>
              <c:strCache>
                <c:ptCount val="3"/>
                <c:pt idx="0">
                  <c:v>Полетов</c:v>
                </c:pt>
                <c:pt idx="1">
                  <c:v>Общий налет, ч</c:v>
                </c:pt>
                <c:pt idx="2">
                  <c:v>Рейсов санитарной эвакуации</c:v>
                </c:pt>
              </c:strCache>
            </c:strRef>
          </c:cat>
          <c:val>
            <c:numRef>
              <c:f>'1.29 авиац-е обесп-е'!$D$4:$D$6</c:f>
              <c:numCache>
                <c:formatCode>General</c:formatCode>
                <c:ptCount val="3"/>
                <c:pt idx="0">
                  <c:v>1</c:v>
                </c:pt>
                <c:pt idx="1">
                  <c:v>1</c:v>
                </c:pt>
                <c:pt idx="2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5684-437A-859E-2847AA99A2E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58080"/>
        <c:axId val="517445928"/>
      </c:barChart>
      <c:catAx>
        <c:axId val="5174580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45928"/>
        <c:crosses val="autoZero"/>
        <c:auto val="1"/>
        <c:lblAlgn val="ctr"/>
        <c:lblOffset val="100"/>
        <c:noMultiLvlLbl val="0"/>
      </c:catAx>
      <c:valAx>
        <c:axId val="5174459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80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ru-RU"/>
              <a:t>Доставлено человек</a:t>
            </a:r>
          </a:p>
        </c:rich>
      </c:tx>
      <c:layout/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2022 г.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обесп-е'!$B$8:$B$11</c:f>
              <c:strCache>
                <c:ptCount val="4"/>
                <c:pt idx="0">
                  <c:v>        человек по задачам МЧС России</c:v>
                </c:pt>
                <c:pt idx="1">
                  <c:v>        человек для ликвидации пожаров</c:v>
                </c:pt>
                <c:pt idx="2">
                  <c:v>       человек для ликвидации паводков</c:v>
                </c:pt>
                <c:pt idx="3">
                  <c:v>       человек для ликвидации ЧС</c:v>
                </c:pt>
              </c:strCache>
            </c:strRef>
          </c:cat>
          <c:val>
            <c:numRef>
              <c:f>'1.29 авиац-е обесп-е'!$C$8:$C$11</c:f>
              <c:numCache>
                <c:formatCode>General</c:formatCode>
                <c:ptCount val="4"/>
                <c:pt idx="0">
                  <c:v>7270</c:v>
                </c:pt>
                <c:pt idx="1">
                  <c:v>4739</c:v>
                </c:pt>
                <c:pt idx="2">
                  <c:v>828</c:v>
                </c:pt>
                <c:pt idx="3">
                  <c:v>2167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5A9-4B8F-8465-440C62FE9A9D}"/>
            </c:ext>
          </c:extLst>
        </c:ser>
        <c:ser>
          <c:idx val="1"/>
          <c:order val="1"/>
          <c:tx>
            <c:v>2023 г.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обесп-е'!$B$8:$B$11</c:f>
              <c:strCache>
                <c:ptCount val="4"/>
                <c:pt idx="0">
                  <c:v>        человек по задачам МЧС России</c:v>
                </c:pt>
                <c:pt idx="1">
                  <c:v>        человек для ликвидации пожаров</c:v>
                </c:pt>
                <c:pt idx="2">
                  <c:v>       человек для ликвидации паводков</c:v>
                </c:pt>
                <c:pt idx="3">
                  <c:v>       человек для ликвидации ЧС</c:v>
                </c:pt>
              </c:strCache>
            </c:strRef>
          </c:cat>
          <c:val>
            <c:numRef>
              <c:f>'1.29 авиац-е обесп-е'!$D$8:$D$11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5A9-4B8F-8465-440C62FE9A9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46320"/>
        <c:axId val="517449456"/>
      </c:barChart>
      <c:catAx>
        <c:axId val="5174463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49456"/>
        <c:crosses val="autoZero"/>
        <c:auto val="1"/>
        <c:lblAlgn val="ctr"/>
        <c:lblOffset val="100"/>
        <c:noMultiLvlLbl val="0"/>
      </c:catAx>
      <c:valAx>
        <c:axId val="5174494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4632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'1.29 авиац-е обесп-е'!$C$3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'1.29 авиац-е обесп-е'!$C$12</c:f>
              <c:numCache>
                <c:formatCode>General</c:formatCode>
                <c:ptCount val="1"/>
                <c:pt idx="0">
                  <c:v>1620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4CB-4A89-BFE9-69C6AA1420CC}"/>
            </c:ext>
          </c:extLst>
        </c:ser>
        <c:ser>
          <c:idx val="1"/>
          <c:order val="1"/>
          <c:tx>
            <c:strRef>
              <c:f>'1.29 авиац-е обесп-е'!$D$3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'1.29 авиац-е обесп-е'!$D$12</c:f>
              <c:numCache>
                <c:formatCode>General</c:formatCode>
                <c:ptCount val="1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94CB-4A89-BFE9-69C6AA1420C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49848"/>
        <c:axId val="517450240"/>
      </c:barChart>
      <c:catAx>
        <c:axId val="517449848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ru-RU"/>
                  <a:t>Доставлено грузов, тн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none"/>
        <c:tickLblPos val="nextTo"/>
        <c:crossAx val="517450240"/>
        <c:crosses val="autoZero"/>
        <c:auto val="1"/>
        <c:lblAlgn val="ctr"/>
        <c:lblOffset val="100"/>
        <c:noMultiLvlLbl val="0"/>
      </c:catAx>
      <c:valAx>
        <c:axId val="5174502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498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'1.29 авиац-е обесп-е'!$C$18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обесп-е'!$B$19:$B$20</c:f>
              <c:strCache>
                <c:ptCount val="2"/>
                <c:pt idx="0">
                  <c:v>сливов, ед</c:v>
                </c:pt>
                <c:pt idx="1">
                  <c:v>воды, т</c:v>
                </c:pt>
              </c:strCache>
            </c:strRef>
          </c:cat>
          <c:val>
            <c:numRef>
              <c:f>'1.29 авиац-е обесп-е'!$C$19:$C$20</c:f>
              <c:numCache>
                <c:formatCode>General</c:formatCode>
                <c:ptCount val="2"/>
                <c:pt idx="0">
                  <c:v>5060</c:v>
                </c:pt>
                <c:pt idx="1">
                  <c:v>31189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9B0-4CE8-A8CC-F6DC6AEDD8C3}"/>
            </c:ext>
          </c:extLst>
        </c:ser>
        <c:ser>
          <c:idx val="1"/>
          <c:order val="1"/>
          <c:tx>
            <c:strRef>
              <c:f>'1.29 авиац-е обесп-е'!$D$18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обесп-е'!$B$19:$B$20</c:f>
              <c:strCache>
                <c:ptCount val="2"/>
                <c:pt idx="0">
                  <c:v>сливов, ед</c:v>
                </c:pt>
                <c:pt idx="1">
                  <c:v>воды, т</c:v>
                </c:pt>
              </c:strCache>
            </c:strRef>
          </c:cat>
          <c:val>
            <c:numRef>
              <c:f>'1.29 авиац-е обесп-е'!$D$19:$D$20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69B0-4CE8-A8CC-F6DC6AEDD8C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51416"/>
        <c:axId val="517451808"/>
      </c:barChart>
      <c:catAx>
        <c:axId val="517451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1808"/>
        <c:crosses val="autoZero"/>
        <c:auto val="1"/>
        <c:lblAlgn val="ctr"/>
        <c:lblOffset val="100"/>
        <c:noMultiLvlLbl val="0"/>
      </c:catAx>
      <c:valAx>
        <c:axId val="5174518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14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695244709630198"/>
          <c:y val="5.0730213673335918E-2"/>
          <c:w val="0.85304755290369805"/>
          <c:h val="0.4251605881799691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'1.29 авиац-е обесп-е'!$C$27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E6A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обесп-е'!$B$28:$B$29</c:f>
              <c:strCache>
                <c:ptCount val="2"/>
                <c:pt idx="0">
                  <c:v>авиационно-спасательная компания</c:v>
                </c:pt>
                <c:pt idx="1">
                  <c:v>авиационно-спасательных центров </c:v>
                </c:pt>
              </c:strCache>
            </c:strRef>
          </c:cat>
          <c:val>
            <c:numRef>
              <c:f>'1.29 авиац-е обесп-е'!$C$28:$C$29</c:f>
              <c:numCache>
                <c:formatCode>General</c:formatCode>
                <c:ptCount val="2"/>
                <c:pt idx="0">
                  <c:v>1</c:v>
                </c:pt>
                <c:pt idx="1">
                  <c:v>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135-404D-AC6F-302A4C79D45F}"/>
            </c:ext>
          </c:extLst>
        </c:ser>
        <c:ser>
          <c:idx val="1"/>
          <c:order val="1"/>
          <c:tx>
            <c:strRef>
              <c:f>'1.29 авиац-е обесп-е'!$D$27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обесп-е'!$B$28:$B$29</c:f>
              <c:strCache>
                <c:ptCount val="2"/>
                <c:pt idx="0">
                  <c:v>авиационно-спасательная компания</c:v>
                </c:pt>
                <c:pt idx="1">
                  <c:v>авиационно-спасательных центров </c:v>
                </c:pt>
              </c:strCache>
            </c:strRef>
          </c:cat>
          <c:val>
            <c:numRef>
              <c:f>'1.29 авиац-е обесп-е'!$D$28:$D$29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3135-404D-AC6F-302A4C79D45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59648"/>
        <c:axId val="517460040"/>
      </c:barChart>
      <c:catAx>
        <c:axId val="517459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186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60040"/>
        <c:crosses val="autoZero"/>
        <c:auto val="1"/>
        <c:lblAlgn val="ctr"/>
        <c:lblOffset val="100"/>
        <c:noMultiLvlLbl val="0"/>
      </c:catAx>
      <c:valAx>
        <c:axId val="517460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59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36257398664695339"/>
          <c:y val="0.91509371171939258"/>
          <c:w val="0.26855504289217508"/>
          <c:h val="8.49062882806074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695244709630198"/>
          <c:y val="5.0730213673335918E-2"/>
          <c:w val="0.85304755290369805"/>
          <c:h val="0.4251605881799691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'1.29 авиац-е обесп-е'!$C$44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E6A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обесп-е'!$B$45:$B$46</c:f>
              <c:strCache>
                <c:ptCount val="2"/>
                <c:pt idx="0">
                  <c:v>          самолетов</c:v>
                </c:pt>
                <c:pt idx="1">
                  <c:v>          вертолетов</c:v>
                </c:pt>
              </c:strCache>
            </c:strRef>
          </c:cat>
          <c:val>
            <c:numRef>
              <c:f>'1.29 авиац-е обесп-е'!$C$45:$C$46</c:f>
              <c:numCache>
                <c:formatCode>General</c:formatCode>
                <c:ptCount val="2"/>
                <c:pt idx="0">
                  <c:v>23</c:v>
                </c:pt>
                <c:pt idx="1">
                  <c:v>68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135-404D-AC6F-302A4C79D45F}"/>
            </c:ext>
          </c:extLst>
        </c:ser>
        <c:ser>
          <c:idx val="1"/>
          <c:order val="1"/>
          <c:tx>
            <c:strRef>
              <c:f>'1.29 авиац-е обесп-е'!$D$44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'1.29 авиац-е обесп-е'!$B$45:$B$46</c:f>
              <c:strCache>
                <c:ptCount val="2"/>
                <c:pt idx="0">
                  <c:v>          самолетов</c:v>
                </c:pt>
                <c:pt idx="1">
                  <c:v>          вертолетов</c:v>
                </c:pt>
              </c:strCache>
            </c:strRef>
          </c:cat>
          <c:val>
            <c:numRef>
              <c:f>'1.29 авиац-е обесп-е'!$D$45:$D$46</c:f>
              <c:numCache>
                <c:formatCode>General</c:formatCode>
                <c:ptCount val="2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3135-404D-AC6F-302A4C79D45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17460824"/>
        <c:axId val="517461608"/>
      </c:barChart>
      <c:catAx>
        <c:axId val="5174608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186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61608"/>
        <c:crosses val="autoZero"/>
        <c:auto val="1"/>
        <c:lblAlgn val="ctr"/>
        <c:lblOffset val="100"/>
        <c:noMultiLvlLbl val="0"/>
      </c:catAx>
      <c:valAx>
        <c:axId val="5174616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51746082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36257398664695339"/>
          <c:y val="0.91509371171939258"/>
          <c:w val="0.26855504289217508"/>
          <c:h val="8.49062882806074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'1.30 БАС'!$C$2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E6A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'1.30 БАС'!$B$3:$B$6</c:f>
              <c:strCache>
                <c:ptCount val="4"/>
                <c:pt idx="0">
                  <c:v>полетов, ед.</c:v>
                </c:pt>
                <c:pt idx="1">
                  <c:v>общий налет, ч.</c:v>
                </c:pt>
                <c:pt idx="2">
                  <c:v>применение для аэрофотосъемки с топографической привязкой к местности, ед</c:v>
                </c:pt>
                <c:pt idx="3">
                  <c:v>съемка и оцифровка, км3</c:v>
                </c:pt>
              </c:strCache>
            </c:strRef>
          </c:cat>
          <c:val>
            <c:numRef>
              <c:f>'1.30 БАС'!$C$3:$C$6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7A43-47C1-A3EB-649732A13153}"/>
            </c:ext>
          </c:extLst>
        </c:ser>
        <c:ser>
          <c:idx val="1"/>
          <c:order val="1"/>
          <c:tx>
            <c:strRef>
              <c:f>'1.30 БАС'!$D$2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'1.30 БАС'!$B$3:$B$6</c:f>
              <c:strCache>
                <c:ptCount val="4"/>
                <c:pt idx="0">
                  <c:v>полетов, ед.</c:v>
                </c:pt>
                <c:pt idx="1">
                  <c:v>общий налет, ч.</c:v>
                </c:pt>
                <c:pt idx="2">
                  <c:v>применение для аэрофотосъемки с топографической привязкой к местности, ед</c:v>
                </c:pt>
                <c:pt idx="3">
                  <c:v>съемка и оцифровка, км3</c:v>
                </c:pt>
              </c:strCache>
            </c:strRef>
          </c:cat>
          <c:val>
            <c:numRef>
              <c:f>'1.30 БАС'!$D$3:$D$6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7A43-47C1-A3EB-649732A131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34780472"/>
        <c:axId val="634770672"/>
      </c:barChart>
      <c:catAx>
        <c:axId val="6347804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0672"/>
        <c:crosses val="autoZero"/>
        <c:auto val="1"/>
        <c:lblAlgn val="ctr"/>
        <c:lblOffset val="100"/>
        <c:noMultiLvlLbl val="0"/>
      </c:catAx>
      <c:valAx>
        <c:axId val="6347706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804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'1.30 БАС'!$C$15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E6A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'1.30 БАС'!$B$16:$B$22</c:f>
              <c:strCache>
                <c:ptCount val="7"/>
                <c:pt idx="0">
                  <c:v>мониторинг лесопожарной обстановки</c:v>
                </c:pt>
                <c:pt idx="1">
                  <c:v>мониторинга паводковой обстановки и водных объектов</c:v>
                </c:pt>
                <c:pt idx="2">
                  <c:v>контроль проведения аварийно-восстановительных работ</c:v>
                </c:pt>
                <c:pt idx="3">
                  <c:v>для ликвидации ЧС</c:v>
                </c:pt>
                <c:pt idx="4">
                  <c:v>контроль выхода людей на лед и в иных целях</c:v>
                </c:pt>
                <c:pt idx="5">
                  <c:v>мониторинг ФАД</c:v>
                </c:pt>
                <c:pt idx="6">
                  <c:v>проведение ПСР</c:v>
                </c:pt>
              </c:strCache>
            </c:strRef>
          </c:cat>
          <c:val>
            <c:numRef>
              <c:f>'1.30 БАС'!$C$16:$C$22</c:f>
              <c:numCache>
                <c:formatCode>General</c:formatCode>
                <c:ptCount val="7"/>
                <c:pt idx="0">
                  <c:v>1097</c:v>
                </c:pt>
                <c:pt idx="1">
                  <c:v>407</c:v>
                </c:pt>
                <c:pt idx="2">
                  <c:v>305</c:v>
                </c:pt>
                <c:pt idx="3">
                  <c:v>235</c:v>
                </c:pt>
                <c:pt idx="4">
                  <c:v>196</c:v>
                </c:pt>
                <c:pt idx="5">
                  <c:v>105</c:v>
                </c:pt>
                <c:pt idx="6">
                  <c:v>67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EB9-45E3-9A8D-2AA36BCF54E0}"/>
            </c:ext>
          </c:extLst>
        </c:ser>
        <c:ser>
          <c:idx val="1"/>
          <c:order val="1"/>
          <c:tx>
            <c:strRef>
              <c:f>'1.30 БАС'!$D$15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'1.30 БАС'!$B$16:$B$22</c:f>
              <c:strCache>
                <c:ptCount val="7"/>
                <c:pt idx="0">
                  <c:v>мониторинг лесопожарной обстановки</c:v>
                </c:pt>
                <c:pt idx="1">
                  <c:v>мониторинга паводковой обстановки и водных объектов</c:v>
                </c:pt>
                <c:pt idx="2">
                  <c:v>контроль проведения аварийно-восстановительных работ</c:v>
                </c:pt>
                <c:pt idx="3">
                  <c:v>для ликвидации ЧС</c:v>
                </c:pt>
                <c:pt idx="4">
                  <c:v>контроль выхода людей на лед и в иных целях</c:v>
                </c:pt>
                <c:pt idx="5">
                  <c:v>мониторинг ФАД</c:v>
                </c:pt>
                <c:pt idx="6">
                  <c:v>проведение ПСР</c:v>
                </c:pt>
              </c:strCache>
            </c:strRef>
          </c:cat>
          <c:val>
            <c:numRef>
              <c:f>'1.30 БАС'!$D$16:$D$22</c:f>
              <c:numCache>
                <c:formatCode>General</c:formatCode>
                <c:ptCount val="7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2EB9-45E3-9A8D-2AA36BCF54E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34775376"/>
        <c:axId val="634776160"/>
      </c:barChart>
      <c:catAx>
        <c:axId val="6347753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6160"/>
        <c:crosses val="autoZero"/>
        <c:auto val="1"/>
        <c:lblAlgn val="ctr"/>
        <c:lblOffset val="100"/>
        <c:noMultiLvlLbl val="0"/>
      </c:catAx>
      <c:valAx>
        <c:axId val="6347761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53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'1.30 БАС'!$C$33</c:f>
              <c:strCache>
                <c:ptCount val="1"/>
                <c:pt idx="0">
                  <c:v>2022 г.</c:v>
                </c:pt>
              </c:strCache>
            </c:strRef>
          </c:tx>
          <c:spPr>
            <a:solidFill>
              <a:srgbClr val="E6A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'1.30 БАС'!$B$34:$B$37</c:f>
              <c:strCache>
                <c:ptCount val="4"/>
                <c:pt idx="0">
                  <c:v>беспилотных авиационных систем на вооружении МЧС России </c:v>
                </c:pt>
                <c:pt idx="1">
                  <c:v>самолетного типа </c:v>
                </c:pt>
                <c:pt idx="2">
                  <c:v>вертолетного типа </c:v>
                </c:pt>
                <c:pt idx="3">
                  <c:v>комбинированного типа </c:v>
                </c:pt>
              </c:strCache>
            </c:strRef>
          </c:cat>
          <c:val>
            <c:numRef>
              <c:f>'1.30 БАС'!$C$34:$C$37</c:f>
              <c:numCache>
                <c:formatCode>General</c:formatCode>
                <c:ptCount val="4"/>
                <c:pt idx="0">
                  <c:v>387</c:v>
                </c:pt>
                <c:pt idx="1">
                  <c:v>37</c:v>
                </c:pt>
                <c:pt idx="2">
                  <c:v>336</c:v>
                </c:pt>
                <c:pt idx="3">
                  <c:v>14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3B7-40F0-83F8-7B99C32A25E9}"/>
            </c:ext>
          </c:extLst>
        </c:ser>
        <c:ser>
          <c:idx val="1"/>
          <c:order val="1"/>
          <c:tx>
            <c:strRef>
              <c:f>'1.30 БАС'!$D$33</c:f>
              <c:strCache>
                <c:ptCount val="1"/>
                <c:pt idx="0">
                  <c:v>2023 г.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'1.30 БАС'!$B$34:$B$37</c:f>
              <c:strCache>
                <c:ptCount val="4"/>
                <c:pt idx="0">
                  <c:v>беспилотных авиационных систем на вооружении МЧС России </c:v>
                </c:pt>
                <c:pt idx="1">
                  <c:v>самолетного типа </c:v>
                </c:pt>
                <c:pt idx="2">
                  <c:v>вертолетного типа </c:v>
                </c:pt>
                <c:pt idx="3">
                  <c:v>комбинированного типа </c:v>
                </c:pt>
              </c:strCache>
            </c:strRef>
          </c:cat>
          <c:val>
            <c:numRef>
              <c:f>'1.30 БАС'!$D$34:$D$37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33B7-40F0-83F8-7B99C32A25E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34769888"/>
        <c:axId val="634780864"/>
      </c:barChart>
      <c:catAx>
        <c:axId val="6347698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80864"/>
        <c:crosses val="autoZero"/>
        <c:auto val="1"/>
        <c:lblAlgn val="ctr"/>
        <c:lblOffset val="100"/>
        <c:noMultiLvlLbl val="0"/>
      </c:catAx>
      <c:valAx>
        <c:axId val="6347808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6988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ru-R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'1.32 Показатель ЗН от ЧС'!$B$17</c:f>
              <c:strCache>
                <c:ptCount val="1"/>
                <c:pt idx="0">
                  <c:v>ср. индивидуальныйый риск пожары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dLbl>
              <c:idx val="13"/>
              <c:layout>
                <c:manualLayout>
                  <c:x val="-2.0592020592020591E-2"/>
                  <c:y val="1.963993453355155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4-AB21-465C-A6E9-07F042434F30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5"/>
              <c:layout>
                <c:manualLayout>
                  <c:x val="-2.9172029172029171E-2"/>
                  <c:y val="-1.636661211129296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3-AB21-465C-A6E9-07F042434F30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'1.32 Показатель ЗН от ЧС'!$C$16:$V$16</c:f>
              <c:numCache>
                <c:formatCode>General</c:formatCode>
                <c:ptCount val="20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  <c:pt idx="14">
                  <c:v>2018</c:v>
                </c:pt>
                <c:pt idx="15">
                  <c:v>2019</c:v>
                </c:pt>
                <c:pt idx="16">
                  <c:v>2020</c:v>
                </c:pt>
                <c:pt idx="17">
                  <c:v>2021</c:v>
                </c:pt>
                <c:pt idx="18">
                  <c:v>2022</c:v>
                </c:pt>
                <c:pt idx="19">
                  <c:v>2023</c:v>
                </c:pt>
              </c:numCache>
            </c:numRef>
          </c:cat>
          <c:val>
            <c:numRef>
              <c:f>'1.32 Показатель ЗН от ЧС'!$C$17:$V$17</c:f>
              <c:numCache>
                <c:formatCode>General</c:formatCode>
                <c:ptCount val="20"/>
                <c:pt idx="0">
                  <c:v>1</c:v>
                </c:pt>
                <c:pt idx="1">
                  <c:v>0.95</c:v>
                </c:pt>
                <c:pt idx="2">
                  <c:v>0.92</c:v>
                </c:pt>
                <c:pt idx="3">
                  <c:v>0.85</c:v>
                </c:pt>
                <c:pt idx="4">
                  <c:v>0.82</c:v>
                </c:pt>
                <c:pt idx="5">
                  <c:v>0.76</c:v>
                </c:pt>
                <c:pt idx="6">
                  <c:v>0.71</c:v>
                </c:pt>
                <c:pt idx="7">
                  <c:v>0.64</c:v>
                </c:pt>
                <c:pt idx="8">
                  <c:v>0.61</c:v>
                </c:pt>
                <c:pt idx="9">
                  <c:v>0.56999999999999995</c:v>
                </c:pt>
                <c:pt idx="10">
                  <c:v>0.54</c:v>
                </c:pt>
                <c:pt idx="11">
                  <c:v>0.47</c:v>
                </c:pt>
                <c:pt idx="12">
                  <c:v>0.45</c:v>
                </c:pt>
                <c:pt idx="13">
                  <c:v>0.38</c:v>
                </c:pt>
                <c:pt idx="14">
                  <c:v>0.4</c:v>
                </c:pt>
                <c:pt idx="15">
                  <c:v>0.44</c:v>
                </c:pt>
                <c:pt idx="16">
                  <c:v>0.43</c:v>
                </c:pt>
                <c:pt idx="17">
                  <c:v>0.6</c:v>
                </c:pt>
                <c:pt idx="18">
                  <c:v>0.52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AB21-465C-A6E9-07F042434F3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634771456"/>
        <c:axId val="634771848"/>
      </c:lineChart>
      <c:catAx>
        <c:axId val="6347714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1848"/>
        <c:crosses val="autoZero"/>
        <c:auto val="1"/>
        <c:lblAlgn val="ctr"/>
        <c:lblOffset val="100"/>
        <c:noMultiLvlLbl val="0"/>
      </c:catAx>
      <c:valAx>
        <c:axId val="6347718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14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dLbl>
              <c:idx val="1"/>
              <c:layout>
                <c:manualLayout>
                  <c:x val="-4.5729221347331594E-2"/>
                  <c:y val="1.1608705161854768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4-E24D-4E91-B3E0-580DBEE60A5F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2"/>
              <c:layout>
                <c:manualLayout>
                  <c:x val="-3.9395888013998251E-2"/>
                  <c:y val="-2.0798702245552639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3-E24D-4E91-B3E0-580DBEE60A5F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3"/>
              <c:layout>
                <c:manualLayout>
                  <c:x val="-7.0729221347331589E-2"/>
                  <c:y val="1.1608705161854768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5-E24D-4E91-B3E0-580DBEE60A5F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5"/>
              <c:layout>
                <c:manualLayout>
                  <c:x val="-3.9395888013998251E-2"/>
                  <c:y val="-3.4687591134441531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6-E24D-4E91-B3E0-580DBEE60A5F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7"/>
              <c:layout>
                <c:manualLayout>
                  <c:x val="-3.7395888013998249E-2"/>
                  <c:y val="3.4756853310002916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7-E24D-4E91-B3E0-580DBEE60A5F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8"/>
              <c:layout>
                <c:manualLayout>
                  <c:x val="-4.8506999125109411E-2"/>
                  <c:y val="-3.4687591134441531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8-E24D-4E91-B3E0-580DBEE60A5F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5"/>
              <c:layout>
                <c:manualLayout>
                  <c:x val="-3.7395888013998353E-2"/>
                  <c:y val="-5.7835739282589678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9-E24D-4E91-B3E0-580DBEE60A5F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'1.32 Показатель ЗН от ЧС'!$C$16:$V$16</c:f>
              <c:numCache>
                <c:formatCode>General</c:formatCode>
                <c:ptCount val="20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  <c:pt idx="14">
                  <c:v>2018</c:v>
                </c:pt>
                <c:pt idx="15">
                  <c:v>2019</c:v>
                </c:pt>
                <c:pt idx="16">
                  <c:v>2020</c:v>
                </c:pt>
                <c:pt idx="17">
                  <c:v>2021</c:v>
                </c:pt>
                <c:pt idx="18">
                  <c:v>2022</c:v>
                </c:pt>
                <c:pt idx="19">
                  <c:v>2023</c:v>
                </c:pt>
              </c:numCache>
            </c:numRef>
          </c:cat>
          <c:val>
            <c:numRef>
              <c:f>'1.32 Показатель ЗН от ЧС'!$C$18:$V$18</c:f>
              <c:numCache>
                <c:formatCode>General</c:formatCode>
                <c:ptCount val="20"/>
                <c:pt idx="0">
                  <c:v>1</c:v>
                </c:pt>
                <c:pt idx="1">
                  <c:v>0.72</c:v>
                </c:pt>
                <c:pt idx="2">
                  <c:v>1.3</c:v>
                </c:pt>
                <c:pt idx="3">
                  <c:v>0.75</c:v>
                </c:pt>
                <c:pt idx="4">
                  <c:v>0.63</c:v>
                </c:pt>
                <c:pt idx="5">
                  <c:v>0.6</c:v>
                </c:pt>
                <c:pt idx="6">
                  <c:v>0.54</c:v>
                </c:pt>
                <c:pt idx="7">
                  <c:v>0.63</c:v>
                </c:pt>
                <c:pt idx="8">
                  <c:v>0.64</c:v>
                </c:pt>
                <c:pt idx="9">
                  <c:v>0.49</c:v>
                </c:pt>
                <c:pt idx="10">
                  <c:v>0.44</c:v>
                </c:pt>
                <c:pt idx="11">
                  <c:v>0.51</c:v>
                </c:pt>
                <c:pt idx="12">
                  <c:v>0.6</c:v>
                </c:pt>
                <c:pt idx="13">
                  <c:v>0.44</c:v>
                </c:pt>
                <c:pt idx="14">
                  <c:v>0.63</c:v>
                </c:pt>
                <c:pt idx="15">
                  <c:v>0.39</c:v>
                </c:pt>
                <c:pt idx="16">
                  <c:v>0.23</c:v>
                </c:pt>
                <c:pt idx="17">
                  <c:v>0.28000000000000003</c:v>
                </c:pt>
                <c:pt idx="18">
                  <c:v>0.13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E24D-4E91-B3E0-580DBEE60A5F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634774200"/>
        <c:axId val="634776552"/>
      </c:lineChart>
      <c:catAx>
        <c:axId val="6347742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6552"/>
        <c:crosses val="autoZero"/>
        <c:auto val="1"/>
        <c:lblAlgn val="ctr"/>
        <c:lblOffset val="100"/>
        <c:noMultiLvlLbl val="0"/>
      </c:catAx>
      <c:valAx>
        <c:axId val="6347765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42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'1.32 Показатель ЗН от ЧС'!$C$16:$V$16</c:f>
              <c:numCache>
                <c:formatCode>General</c:formatCode>
                <c:ptCount val="20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  <c:pt idx="14">
                  <c:v>2018</c:v>
                </c:pt>
                <c:pt idx="15">
                  <c:v>2019</c:v>
                </c:pt>
                <c:pt idx="16">
                  <c:v>2020</c:v>
                </c:pt>
                <c:pt idx="17">
                  <c:v>2021</c:v>
                </c:pt>
                <c:pt idx="18">
                  <c:v>2022</c:v>
                </c:pt>
                <c:pt idx="19">
                  <c:v>2023</c:v>
                </c:pt>
              </c:numCache>
            </c:numRef>
          </c:cat>
          <c:val>
            <c:numRef>
              <c:f>'1.32 Показатель ЗН от ЧС'!$C$19:$V$19</c:f>
              <c:numCache>
                <c:formatCode>General</c:formatCode>
                <c:ptCount val="20"/>
                <c:pt idx="0">
                  <c:v>1</c:v>
                </c:pt>
                <c:pt idx="1">
                  <c:v>0.93</c:v>
                </c:pt>
                <c:pt idx="2">
                  <c:v>0.67</c:v>
                </c:pt>
                <c:pt idx="3">
                  <c:v>0.65</c:v>
                </c:pt>
                <c:pt idx="4">
                  <c:v>0.57999999999999996</c:v>
                </c:pt>
                <c:pt idx="5">
                  <c:v>0.6</c:v>
                </c:pt>
                <c:pt idx="6">
                  <c:v>0.67</c:v>
                </c:pt>
                <c:pt idx="7">
                  <c:v>0.53</c:v>
                </c:pt>
                <c:pt idx="8">
                  <c:v>0.49</c:v>
                </c:pt>
                <c:pt idx="9">
                  <c:v>0.45</c:v>
                </c:pt>
                <c:pt idx="10">
                  <c:v>0.44</c:v>
                </c:pt>
                <c:pt idx="11">
                  <c:v>0.4</c:v>
                </c:pt>
                <c:pt idx="12">
                  <c:v>0.37</c:v>
                </c:pt>
                <c:pt idx="13">
                  <c:v>0.31</c:v>
                </c:pt>
                <c:pt idx="14">
                  <c:v>0.32</c:v>
                </c:pt>
                <c:pt idx="15">
                  <c:v>0.25</c:v>
                </c:pt>
                <c:pt idx="16">
                  <c:v>0.26</c:v>
                </c:pt>
                <c:pt idx="17">
                  <c:v>0.28999999999999998</c:v>
                </c:pt>
                <c:pt idx="18">
                  <c:v>0.21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C5FD-44CE-849C-9B0CCB7CA1FE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634772240"/>
        <c:axId val="634770280"/>
      </c:lineChart>
      <c:catAx>
        <c:axId val="634772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0280"/>
        <c:crosses val="autoZero"/>
        <c:auto val="1"/>
        <c:lblAlgn val="ctr"/>
        <c:lblOffset val="100"/>
        <c:noMultiLvlLbl val="0"/>
      </c:catAx>
      <c:valAx>
        <c:axId val="6347702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22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dLbl>
              <c:idx val="3"/>
              <c:layout>
                <c:manualLayout>
                  <c:x val="-8.461811023622047E-2"/>
                  <c:y val="2.5497594050743658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9-F0DF-48AA-B141-72E4A7FCF5F8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5"/>
              <c:layout>
                <c:manualLayout>
                  <c:x val="-5.6840332458442694E-2"/>
                  <c:y val="5.3275371828521434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8-F0DF-48AA-B141-72E4A7FCF5F8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7"/>
              <c:layout>
                <c:manualLayout>
                  <c:x val="-5.1284776902887137E-2"/>
                  <c:y val="5.3275371828521351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7-F0DF-48AA-B141-72E4A7FCF5F8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3"/>
              <c:layout>
                <c:manualLayout>
                  <c:x val="-8.9395888013998254E-2"/>
                  <c:y val="2.0867964421113942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6-F0DF-48AA-B141-72E4A7FCF5F8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6"/>
              <c:layout>
                <c:manualLayout>
                  <c:x val="-5.9618110236220476E-2"/>
                  <c:y val="5.790500145815098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4-F0DF-48AA-B141-72E4A7FCF5F8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7"/>
              <c:layout>
                <c:manualLayout>
                  <c:x val="-6.4395888013998356E-2"/>
                  <c:y val="-4.3946850393700873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5-F0DF-48AA-B141-72E4A7FCF5F8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9"/>
              <c:layout>
                <c:manualLayout>
                  <c:x val="-6.0500000000000102E-2"/>
                  <c:y val="-4.394685039370079E-2"/>
                </c:manualLayout>
              </c:layout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3-F0DF-48AA-B141-72E4A7FCF5F8}"/>
                </c:ext>
                <c:ext xmlns:c15="http://schemas.microsoft.com/office/drawing/2012/chart" uri="{CE6537A1-D6FC-4f65-9D91-7224C49458BB}"/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endParaRPr lang="ru-RU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6r2="http://schemas.microsoft.com/office/drawing/2015/06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'1.32 Показатель ЗН от ЧС'!$C$16:$V$16</c:f>
              <c:numCache>
                <c:formatCode>General</c:formatCode>
                <c:ptCount val="20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  <c:pt idx="14">
                  <c:v>2018</c:v>
                </c:pt>
                <c:pt idx="15">
                  <c:v>2019</c:v>
                </c:pt>
                <c:pt idx="16">
                  <c:v>2020</c:v>
                </c:pt>
                <c:pt idx="17">
                  <c:v>2021</c:v>
                </c:pt>
                <c:pt idx="18">
                  <c:v>2022</c:v>
                </c:pt>
                <c:pt idx="19">
                  <c:v>2023</c:v>
                </c:pt>
              </c:numCache>
            </c:numRef>
          </c:cat>
          <c:val>
            <c:numRef>
              <c:f>'1.32 Показатель ЗН от ЧС'!$C$20:$V$20</c:f>
              <c:numCache>
                <c:formatCode>General</c:formatCode>
                <c:ptCount val="20"/>
                <c:pt idx="0">
                  <c:v>1</c:v>
                </c:pt>
                <c:pt idx="1">
                  <c:v>0.9</c:v>
                </c:pt>
                <c:pt idx="2">
                  <c:v>0.97</c:v>
                </c:pt>
                <c:pt idx="3">
                  <c:v>0.75</c:v>
                </c:pt>
                <c:pt idx="4">
                  <c:v>0.7</c:v>
                </c:pt>
                <c:pt idx="5">
                  <c:v>0.69</c:v>
                </c:pt>
                <c:pt idx="6">
                  <c:v>0.69</c:v>
                </c:pt>
                <c:pt idx="7">
                  <c:v>0.68</c:v>
                </c:pt>
                <c:pt idx="8">
                  <c:v>0.67</c:v>
                </c:pt>
                <c:pt idx="9">
                  <c:v>0.6</c:v>
                </c:pt>
                <c:pt idx="10">
                  <c:v>0.6</c:v>
                </c:pt>
                <c:pt idx="11">
                  <c:v>0.6</c:v>
                </c:pt>
                <c:pt idx="12">
                  <c:v>0.63</c:v>
                </c:pt>
                <c:pt idx="13">
                  <c:v>0.4</c:v>
                </c:pt>
                <c:pt idx="14">
                  <c:v>0.6</c:v>
                </c:pt>
                <c:pt idx="15">
                  <c:v>0.45</c:v>
                </c:pt>
                <c:pt idx="16">
                  <c:v>0.35</c:v>
                </c:pt>
                <c:pt idx="17">
                  <c:v>0.4</c:v>
                </c:pt>
                <c:pt idx="18">
                  <c:v>0.75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F0DF-48AA-B141-72E4A7FCF5F8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634777336"/>
        <c:axId val="634778512"/>
      </c:lineChart>
      <c:catAx>
        <c:axId val="6347773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8512"/>
        <c:crosses val="autoZero"/>
        <c:auto val="1"/>
        <c:lblAlgn val="ctr"/>
        <c:lblOffset val="100"/>
        <c:noMultiLvlLbl val="0"/>
      </c:catAx>
      <c:valAx>
        <c:axId val="6347785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ru-RU"/>
          </a:p>
        </c:txPr>
        <c:crossAx val="63477733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8.0521262031014312E-2"/>
                  <c:y val="-0.4213974145970423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4600-4DEF-8716-9E16CF2864E8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4600-4DEF-8716-9E16CF2864E8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ПОО'!$A$6:$A$8</c:f>
              <c:strCache>
                <c:ptCount val="3"/>
                <c:pt idx="0">
                  <c:v>Ядерного топливного цикла</c:v>
                </c:pt>
                <c:pt idx="1">
                  <c:v>Ядерных энергетических установок судов</c:v>
                </c:pt>
                <c:pt idx="2">
                  <c:v>Организации осуществляющие деятельность в отношении РОО</c:v>
                </c:pt>
              </c:strCache>
            </c:strRef>
          </c:cat>
          <c:val>
            <c:numRef>
              <c:f>'1.33 Сведения по ПОО'!$B$6:$B$8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4600-4DEF-8716-9E16CF2864E8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60144888033258082"/>
          <c:y val="4.9600137414742028E-2"/>
          <c:w val="0.36545743314824131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1709-4ED4-9E7A-9C669AD339B3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1709-4ED4-9E7A-9C669AD339B3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ПОО'!$A$14:$A$16</c:f>
              <c:strCache>
                <c:ptCount val="3"/>
                <c:pt idx="0">
                  <c:v>I класс</c:v>
                </c:pt>
                <c:pt idx="1">
                  <c:v>II класс</c:v>
                </c:pt>
                <c:pt idx="2">
                  <c:v>III класс</c:v>
                </c:pt>
              </c:strCache>
            </c:strRef>
          </c:cat>
          <c:val>
            <c:numRef>
              <c:f>'1.33 Сведения по ПОО'!$B$14:$B$16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1709-4ED4-9E7A-9C669AD339B3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1923171330134883"/>
          <c:y val="4.9600137414742028E-2"/>
          <c:w val="0.24767448306904138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6646-4ECC-AF60-54E24A120A8D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6646-4ECC-AF60-54E24A120A8D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ПОО'!$A$19:$A$22</c:f>
              <c:strCache>
                <c:ptCount val="4"/>
                <c:pt idx="0">
                  <c:v>I класс</c:v>
                </c:pt>
                <c:pt idx="1">
                  <c:v>II класс</c:v>
                </c:pt>
                <c:pt idx="2">
                  <c:v>III класс</c:v>
                </c:pt>
                <c:pt idx="3">
                  <c:v>IV класс</c:v>
                </c:pt>
              </c:strCache>
            </c:strRef>
          </c:cat>
          <c:val>
            <c:numRef>
              <c:f>'1.33 Сведения по ПОО'!$B$19:$B$22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6646-4ECC-AF60-54E24A120A8D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1923171330134883"/>
          <c:y val="4.9600137414742028E-2"/>
          <c:w val="0.24767448306904138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0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D874-4E5E-B8C9-FBD0DA6D426E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D874-4E5E-B8C9-FBD0DA6D426E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ПОО'!$A$27:$A$35</c:f>
              <c:strCache>
                <c:ptCount val="9"/>
                <c:pt idx="0">
                  <c:v>химически опасные производственные объекты</c:v>
                </c:pt>
                <c:pt idx="1">
                  <c:v>хлорные объекты системы водоподготовки</c:v>
                </c:pt>
                <c:pt idx="2">
                  <c:v>объекты целлюлозно-бумажных производств</c:v>
                </c:pt>
                <c:pt idx="3">
                  <c:v>аммиачно-холодильные установки</c:v>
                </c:pt>
                <c:pt idx="4">
                  <c:v>криогенно-вакуумной техники</c:v>
                </c:pt>
                <c:pt idx="5">
                  <c:v>спиртовые производства </c:v>
                </c:pt>
                <c:pt idx="6">
                  <c:v>маслоэкстракционные производства</c:v>
                </c:pt>
                <c:pt idx="7">
                  <c:v>склады, базы хранения и отгрузки ОХВ</c:v>
                </c:pt>
                <c:pt idx="8">
                  <c:v>другие производства</c:v>
                </c:pt>
              </c:strCache>
            </c:strRef>
          </c:cat>
          <c:val>
            <c:numRef>
              <c:f>'1.33 Сведения по ПОО'!$B$27:$B$35</c:f>
              <c:numCache>
                <c:formatCode>General</c:formatCode>
                <c:ptCount val="9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D874-4E5E-B8C9-FBD0DA6D426E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60480844750127094"/>
          <c:y val="4.9600137414742028E-2"/>
          <c:w val="0.36209787576725905"/>
          <c:h val="0.94214101305076559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1029-4210-8361-0DBA64C5C1CB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1029-4210-8361-0DBA64C5C1CB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ПОО'!$A$41:$A$43</c:f>
              <c:strCache>
                <c:ptCount val="3"/>
                <c:pt idx="0">
                  <c:v>объекты транспортирования автомобильным транспортом</c:v>
                </c:pt>
                <c:pt idx="1">
                  <c:v>объекты транспортирования железнодорожным транспортом</c:v>
                </c:pt>
                <c:pt idx="2">
                  <c:v>прочие объекты транспортирования</c:v>
                </c:pt>
              </c:strCache>
            </c:strRef>
          </c:cat>
          <c:val>
            <c:numRef>
              <c:f>'1.33 Сведения по ПОО'!$B$41:$B$43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1029-4210-8361-0DBA64C5C1CB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64070977239560123"/>
          <c:y val="4.9600137414742028E-2"/>
          <c:w val="0.32619642397478887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927635410958734"/>
          <c:y val="7.89498994931395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3CB1-4971-9149-D91BE5AA04FF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3CB1-4971-9149-D91BE5AA04FF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ПОО'!$A$46:$A$48</c:f>
              <c:strCache>
                <c:ptCount val="3"/>
                <c:pt idx="0">
                  <c:v>автомобильных транспортных средств</c:v>
                </c:pt>
                <c:pt idx="1">
                  <c:v>железнодорожных транспортных средств</c:v>
                </c:pt>
                <c:pt idx="2">
                  <c:v>прочие</c:v>
                </c:pt>
              </c:strCache>
            </c:strRef>
          </c:cat>
          <c:val>
            <c:numRef>
              <c:f>'1.33 Сведения по ПОО'!$B$46:$B$48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3CB1-4971-9149-D91BE5AA04FF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64070977239560123"/>
          <c:y val="4.9600137414742028E-2"/>
          <c:w val="0.32619642397478887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63D8-455F-B0C7-A8D7DEA50DD9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63D8-455F-B0C7-A8D7DEA50DD9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ПОО'!$A$51:$A$53</c:f>
              <c:strCache>
                <c:ptCount val="3"/>
                <c:pt idx="0">
                  <c:v>I класс</c:v>
                </c:pt>
                <c:pt idx="1">
                  <c:v>II класс</c:v>
                </c:pt>
                <c:pt idx="2">
                  <c:v>III класс</c:v>
                </c:pt>
              </c:strCache>
            </c:strRef>
          </c:cat>
          <c:val>
            <c:numRef>
              <c:f>'1.33 Сведения по ПОО'!$B$51:$B$53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63D8-455F-B0C7-A8D7DEA50DD9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1923171330134883"/>
          <c:y val="4.9600137414742028E-2"/>
          <c:w val="0.24767448306904138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9101-41FE-884B-D5E6F4024E3E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9101-41FE-884B-D5E6F4024E3E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ПОО'!$A$56:$A$59</c:f>
              <c:strCache>
                <c:ptCount val="4"/>
                <c:pt idx="0">
                  <c:v>I класс</c:v>
                </c:pt>
                <c:pt idx="1">
                  <c:v>II класс</c:v>
                </c:pt>
                <c:pt idx="2">
                  <c:v>III класс</c:v>
                </c:pt>
                <c:pt idx="3">
                  <c:v>IV класс</c:v>
                </c:pt>
              </c:strCache>
            </c:strRef>
          </c:cat>
          <c:val>
            <c:numRef>
              <c:f>'1.33 Сведения по ПОО'!$B$56:$B$59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9101-41FE-884B-D5E6F4024E3E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1923171330134883"/>
          <c:y val="4.9600137414742028E-2"/>
          <c:w val="0.24767448306904138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1.2469119340366234E-2"/>
                  <c:y val="7.7031795186149388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403B-48A5-86F3-3CCF2D9BEBAF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231293487192374E-2"/>
                  <c:y val="-5.6220460079875753E-3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403B-48A5-86F3-3CCF2D9BEBAF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ПОО'!$A$62:$A$65</c:f>
              <c:strCache>
                <c:ptCount val="4"/>
                <c:pt idx="0">
                  <c:v>I класс</c:v>
                </c:pt>
                <c:pt idx="1">
                  <c:v>II класс</c:v>
                </c:pt>
                <c:pt idx="2">
                  <c:v>III класс</c:v>
                </c:pt>
                <c:pt idx="3">
                  <c:v>IV класс</c:v>
                </c:pt>
              </c:strCache>
            </c:strRef>
          </c:cat>
          <c:val>
            <c:numRef>
              <c:f>'1.33 Сведения по ПОО'!$B$62:$B$65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403B-48A5-86F3-3CCF2D9BEBAF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1923171330134883"/>
          <c:y val="4.9600137414742028E-2"/>
          <c:w val="0.24767448306904138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2.9409249142699097E-2"/>
                  <c:y val="-4.7575974478630281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395B-491C-BC7A-20C442B21215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918515040867478E-3"/>
                  <c:y val="0.24359209166462636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395B-491C-BC7A-20C442B21215}"/>
                </c:ext>
                <c:ext xmlns:c15="http://schemas.microsoft.com/office/drawing/2012/chart" uri="{CE6537A1-D6FC-4f65-9D91-7224C49458BB}"/>
              </c:extLst>
            </c:dLbl>
            <c:dLbl>
              <c:idx val="3"/>
              <c:layout>
                <c:manualLayout>
                  <c:x val="-4.1114067648816081E-2"/>
                  <c:y val="-0.17699516521797634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2-395B-491C-BC7A-20C442B21215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ПОО'!$A$68:$A$71</c:f>
              <c:strCache>
                <c:ptCount val="4"/>
                <c:pt idx="0">
                  <c:v>I класс</c:v>
                </c:pt>
                <c:pt idx="1">
                  <c:v>II класс</c:v>
                </c:pt>
                <c:pt idx="2">
                  <c:v>III класс</c:v>
                </c:pt>
                <c:pt idx="3">
                  <c:v>IV класс</c:v>
                </c:pt>
              </c:strCache>
            </c:strRef>
          </c:cat>
          <c:val>
            <c:numRef>
              <c:f>'1.33 Сведения по ПОО'!$B$68:$B$71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395B-491C-BC7A-20C442B21215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1923171330134883"/>
          <c:y val="4.9600137414742028E-2"/>
          <c:w val="0.24767448306904138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-7.0051876004581112E-2"/>
                  <c:y val="-0.1365811905113431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BFF6-4EA5-87D9-18C5C3AAB795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3.2648433775810996E-2"/>
                  <c:y val="-2.3423834100812807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BFF6-4EA5-87D9-18C5C3AAB795}"/>
                </c:ext>
                <c:ext xmlns:c15="http://schemas.microsoft.com/office/drawing/2012/chart" uri="{CE6537A1-D6FC-4f65-9D91-7224C49458BB}"/>
              </c:extLst>
            </c:dLbl>
            <c:dLbl>
              <c:idx val="2"/>
              <c:layout>
                <c:manualLayout>
                  <c:x val="-2.8713474674200927E-2"/>
                  <c:y val="0.12686551596254289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2-BFF6-4EA5-87D9-18C5C3AAB795}"/>
                </c:ext>
                <c:ext xmlns:c15="http://schemas.microsoft.com/office/drawing/2012/chart" uri="{CE6537A1-D6FC-4f65-9D91-7224C49458BB}"/>
              </c:extLst>
            </c:dLbl>
            <c:dLbl>
              <c:idx val="3"/>
              <c:layout>
                <c:manualLayout>
                  <c:x val="-5.1583556722415873E-2"/>
                  <c:y val="-0.36687295942109699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3-BFF6-4EA5-87D9-18C5C3AAB795}"/>
                </c:ext>
                <c:ext xmlns:c15="http://schemas.microsoft.com/office/drawing/2012/chart" uri="{CE6537A1-D6FC-4f65-9D91-7224C49458BB}"/>
              </c:extLst>
            </c:dLbl>
            <c:dLbl>
              <c:idx val="4"/>
              <c:layout>
                <c:manualLayout>
                  <c:x val="2.4983785528344461E-3"/>
                  <c:y val="0.12287251836637818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4-BFF6-4EA5-87D9-18C5C3AAB795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ПОО'!$A$74:$A$79</c:f>
              <c:strCache>
                <c:ptCount val="6"/>
                <c:pt idx="0">
                  <c:v>тепловые электростанции</c:v>
                </c:pt>
                <c:pt idx="1">
                  <c:v>газотурбинные (газопоршневые) электростанции</c:v>
                </c:pt>
                <c:pt idx="2">
                  <c:v>малые (технологические) электростанции</c:v>
                </c:pt>
                <c:pt idx="3">
                  <c:v>гидроэлектростанции </c:v>
                </c:pt>
                <c:pt idx="4">
                  <c:v>котельные</c:v>
                </c:pt>
                <c:pt idx="5">
                  <c:v>электрические подстанции</c:v>
                </c:pt>
              </c:strCache>
            </c:strRef>
          </c:cat>
          <c:val>
            <c:numRef>
              <c:f>'1.33 Сведения по ПОО'!$B$74:$B$79</c:f>
              <c:numCache>
                <c:formatCode>General</c:formatCode>
                <c:ptCount val="6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5-BFF6-4EA5-87D9-18C5C3AAB795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64594456845598447"/>
          <c:y val="4.9600137414742028E-2"/>
          <c:w val="0.35405543154401548"/>
          <c:h val="0.95039983620236734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2.9409249142699097E-2"/>
                  <c:y val="-4.7575974478630281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A31C-4F76-9030-B29D57708AAE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-9.0918515040867478E-3"/>
                  <c:y val="0.24359209166462636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A31C-4F76-9030-B29D57708AAE}"/>
                </c:ext>
                <c:ext xmlns:c15="http://schemas.microsoft.com/office/drawing/2012/chart" uri="{CE6537A1-D6FC-4f65-9D91-7224C49458BB}"/>
              </c:extLst>
            </c:dLbl>
            <c:dLbl>
              <c:idx val="3"/>
              <c:layout>
                <c:manualLayout>
                  <c:x val="-4.1114067648816081E-2"/>
                  <c:y val="-0.17699516521797634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2-A31C-4F76-9030-B29D57708AAE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ПОО'!$A$88:$A$90</c:f>
              <c:strCache>
                <c:ptCount val="3"/>
                <c:pt idx="0">
                  <c:v>промышленности</c:v>
                </c:pt>
                <c:pt idx="1">
                  <c:v>энергетики</c:v>
                </c:pt>
                <c:pt idx="2">
                  <c:v>водохозяйственного назначения</c:v>
                </c:pt>
              </c:strCache>
            </c:strRef>
          </c:cat>
          <c:val>
            <c:numRef>
              <c:f>'1.33 Сведения по ПОО'!$B$88:$B$90</c:f>
              <c:numCache>
                <c:formatCode>General</c:formatCode>
                <c:ptCount val="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A31C-4F76-9030-B29D57708AAE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66426635466732553"/>
          <c:y val="4.9600137414742028E-2"/>
          <c:w val="0.30263984170306463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109051914287592E-2"/>
          <c:y val="8.8562083551025961E-2"/>
          <c:w val="0.41281607234906192"/>
          <c:h val="0.84076149218529528"/>
        </c:manualLayout>
      </c:layout>
      <c:pieChart>
        <c:varyColors val="1"/>
        <c:ser>
          <c:idx val="0"/>
          <c:order val="0"/>
          <c:explosion val="25"/>
          <c:dLbls>
            <c:dLbl>
              <c:idx val="0"/>
              <c:layout>
                <c:manualLayout>
                  <c:x val="2.9409249142699097E-2"/>
                  <c:y val="-4.7575974478630281E-2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0-A9DD-4275-A6EB-39E9842EF6EE}"/>
                </c:ext>
                <c:ext xmlns:c15="http://schemas.microsoft.com/office/drawing/2012/chart" uri="{CE6537A1-D6FC-4f65-9D91-7224C49458BB}"/>
              </c:extLst>
            </c:dLbl>
            <c:dLbl>
              <c:idx val="1"/>
              <c:layout>
                <c:manualLayout>
                  <c:x val="3.0169118948787002E-2"/>
                  <c:y val="0.11898478921882855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A9DD-4275-A6EB-39E9842EF6EE}"/>
                </c:ext>
                <c:ext xmlns:c15="http://schemas.microsoft.com/office/drawing/2012/chart" uri="{CE6537A1-D6FC-4f65-9D91-7224C49458BB}"/>
              </c:extLst>
            </c:dLbl>
            <c:dLbl>
              <c:idx val="3"/>
              <c:layout>
                <c:manualLayout>
                  <c:x val="-4.1114067648816081E-2"/>
                  <c:y val="-0.17699516521797634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2-A9DD-4275-A6EB-39E9842EF6EE}"/>
                </c:ext>
                <c:ext xmlns:c15="http://schemas.microsoft.com/office/drawing/2012/chart" uri="{CE6537A1-D6FC-4f65-9D91-7224C49458BB}"/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'1.33 Сведения по ПОО'!$A$93:$A$96</c:f>
              <c:strCache>
                <c:ptCount val="4"/>
                <c:pt idx="0">
                  <c:v>I класс</c:v>
                </c:pt>
                <c:pt idx="1">
                  <c:v>II класс</c:v>
                </c:pt>
                <c:pt idx="2">
                  <c:v>III класс</c:v>
                </c:pt>
                <c:pt idx="3">
                  <c:v>IV класс</c:v>
                </c:pt>
              </c:strCache>
            </c:strRef>
          </c:cat>
          <c:val>
            <c:numRef>
              <c:f>'1.33 Сведения по ПОО'!$B$93:$B$96</c:f>
              <c:numCache>
                <c:formatCode>General</c:formatCode>
                <c:ptCount val="4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A9DD-4275-A6EB-39E9842EF6EE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1923171330134883"/>
          <c:y val="4.9600137414742028E-2"/>
          <c:w val="0.24767448306904138"/>
          <c:h val="0.83720268520093222"/>
        </c:manualLayout>
      </c:layout>
      <c:overlay val="0"/>
      <c:txPr>
        <a:bodyPr/>
        <a:lstStyle/>
        <a:p>
          <a:pPr rtl="0">
            <a:defRPr/>
          </a:pPr>
          <a:endParaRPr lang="ru-RU"/>
        </a:p>
      </c:txPr>
    </c:legend>
    <c:plotVisOnly val="1"/>
    <c:dispBlanksAs val="gap"/>
    <c:showDLblsOverMax val="0"/>
  </c:chart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11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('Таблица 1.4+'!$A$3:$D$3,'Таблица 1.4+'!$A$40:$D$40,'Таблица 1.4+'!$A$88:$D$88)</c:f>
              <c:strCache>
                <c:ptCount val="3"/>
                <c:pt idx="0">
                  <c:v>Техногенные чрезвычайные ситуации</c:v>
                </c:pt>
                <c:pt idx="1">
                  <c:v>Природные чрезвычайные ситуации</c:v>
                </c:pt>
                <c:pt idx="2">
                  <c:v>Природные чрезвычайные ситуации, связанные с биологической опасностью</c:v>
                </c:pt>
              </c:strCache>
            </c:strRef>
          </c:cat>
          <c:val>
            <c:numRef>
              <c:f>('Таблица 1.4+'!$B$39,'Таблица 1.4+'!$B$87,'Таблица 1.4+'!$B$92)</c:f>
              <c:numCache>
                <c:formatCode>General</c:formatCode>
                <c:ptCount val="3"/>
                <c:pt idx="0">
                  <c:v>596540.73430000001</c:v>
                </c:pt>
                <c:pt idx="1">
                  <c:v>7125900.9908999996</c:v>
                </c:pt>
                <c:pt idx="2">
                  <c:v>105953.0077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B3F-468D-ADC4-60117071CCEF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overlay val="0"/>
      <c:txPr>
        <a:bodyPr/>
        <a:lstStyle/>
        <a:p>
          <a:pPr>
            <a:defRPr sz="1600"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2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('Таблица 1.4+'!$A$3:$D$3,'Таблица 1.4+'!$A$40:$D$40,'Таблица 1.4+'!$A$88:$D$88)</c:f>
              <c:strCache>
                <c:ptCount val="3"/>
                <c:pt idx="0">
                  <c:v>Техногенные чрезвычайные ситуации</c:v>
                </c:pt>
                <c:pt idx="1">
                  <c:v>Природные чрезвычайные ситуации</c:v>
                </c:pt>
                <c:pt idx="2">
                  <c:v>Природные чрезвычайные ситуации, связанные с биологической опасностью</c:v>
                </c:pt>
              </c:strCache>
            </c:strRef>
          </c:cat>
          <c:val>
            <c:numRef>
              <c:f>('Таблица 1.4+'!$C$39,'Таблица 1.4+'!$C$87,'Таблица 1.4+'!$C$92)</c:f>
              <c:numCache>
                <c:formatCode>General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95AE-4E33-8F18-7B789A4A3582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77708247048888801"/>
          <c:y val="0.37917693910631739"/>
          <c:w val="0.20430500389690595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2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pieChart>
        <c:varyColors val="1"/>
        <c:ser>
          <c:idx val="0"/>
          <c:order val="0"/>
          <c:explosion val="25"/>
          <c:dLbls>
            <c:numFmt formatCode="0.00%" sourceLinked="0"/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2000">
                    <a:latin typeface="Arial" pitchFamily="34" charset="0"/>
                    <a:cs typeface="Arial" pitchFamily="34" charset="0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multiLvlStrRef>
              <c:f>'1.1 оперативные показатели'!$C$1:$D$2</c:f>
              <c:multiLvlStrCache>
                <c:ptCount val="1"/>
                <c:lvl>
                  <c:pt idx="0">
                    <c:v>Природные ЧС, ед.</c:v>
                  </c:pt>
                </c:lvl>
                <c:lvl>
                  <c:pt idx="0">
                    <c:v>Техногенные ЧС, ед.</c:v>
                  </c:pt>
                </c:lvl>
              </c:multiLvlStrCache>
            </c:multiLvlStrRef>
          </c:cat>
          <c:val>
            <c:numRef>
              <c:f>('Таблица 1.4+'!$C$39,'Таблица 1.4+'!$C$96)</c:f>
              <c:numCache>
                <c:formatCode>General</c:formatCode>
                <c:ptCount val="2"/>
                <c:pt idx="0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F41-46A2-A1BD-358896410C26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90"/>
      </c:pieChart>
    </c:plotArea>
    <c:legend>
      <c:legendPos val="r"/>
      <c:layout>
        <c:manualLayout>
          <c:xMode val="edge"/>
          <c:yMode val="edge"/>
          <c:x val="0.80500565701538618"/>
          <c:y val="0.37917693910631739"/>
          <c:w val="0.17638180044248394"/>
          <c:h val="0.30031278106295672"/>
        </c:manualLayout>
      </c:layout>
      <c:overlay val="0"/>
      <c:txPr>
        <a:bodyPr/>
        <a:lstStyle/>
        <a:p>
          <a:pPr rtl="0">
            <a:defRPr>
              <a:latin typeface="Arial" pitchFamily="34" charset="0"/>
              <a:cs typeface="Arial" pitchFamily="34" charset="0"/>
            </a:defRPr>
          </a:pPr>
          <a:endParaRPr lang="ru-RU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chart" Target="../charts/chart12.xml"/><Relationship Id="rId3" Type="http://schemas.openxmlformats.org/officeDocument/2006/relationships/chart" Target="../charts/chart7.xml"/><Relationship Id="rId7" Type="http://schemas.openxmlformats.org/officeDocument/2006/relationships/chart" Target="../charts/chart11.xml"/><Relationship Id="rId2" Type="http://schemas.openxmlformats.org/officeDocument/2006/relationships/chart" Target="../charts/chart6.xml"/><Relationship Id="rId1" Type="http://schemas.openxmlformats.org/officeDocument/2006/relationships/chart" Target="../charts/chart5.xml"/><Relationship Id="rId6" Type="http://schemas.openxmlformats.org/officeDocument/2006/relationships/chart" Target="../charts/chart10.xml"/><Relationship Id="rId5" Type="http://schemas.openxmlformats.org/officeDocument/2006/relationships/chart" Target="../charts/chart9.xml"/><Relationship Id="rId4" Type="http://schemas.openxmlformats.org/officeDocument/2006/relationships/chart" Target="../charts/chart8.xml"/><Relationship Id="rId9" Type="http://schemas.openxmlformats.org/officeDocument/2006/relationships/chart" Target="../charts/chart13.xml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1.xml"/><Relationship Id="rId3" Type="http://schemas.openxmlformats.org/officeDocument/2006/relationships/chart" Target="../charts/chart16.xml"/><Relationship Id="rId7" Type="http://schemas.openxmlformats.org/officeDocument/2006/relationships/chart" Target="../charts/chart20.xml"/><Relationship Id="rId2" Type="http://schemas.openxmlformats.org/officeDocument/2006/relationships/chart" Target="../charts/chart15.xml"/><Relationship Id="rId1" Type="http://schemas.openxmlformats.org/officeDocument/2006/relationships/chart" Target="../charts/chart14.xml"/><Relationship Id="rId6" Type="http://schemas.openxmlformats.org/officeDocument/2006/relationships/chart" Target="../charts/chart19.xml"/><Relationship Id="rId5" Type="http://schemas.openxmlformats.org/officeDocument/2006/relationships/chart" Target="../charts/chart18.xml"/><Relationship Id="rId4" Type="http://schemas.openxmlformats.org/officeDocument/2006/relationships/chart" Target="../charts/chart17.xml"/><Relationship Id="rId9" Type="http://schemas.openxmlformats.org/officeDocument/2006/relationships/chart" Target="../charts/chart22.xml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30.xml"/><Relationship Id="rId3" Type="http://schemas.openxmlformats.org/officeDocument/2006/relationships/chart" Target="../charts/chart25.xml"/><Relationship Id="rId7" Type="http://schemas.openxmlformats.org/officeDocument/2006/relationships/chart" Target="../charts/chart29.xml"/><Relationship Id="rId2" Type="http://schemas.openxmlformats.org/officeDocument/2006/relationships/chart" Target="../charts/chart24.xml"/><Relationship Id="rId1" Type="http://schemas.openxmlformats.org/officeDocument/2006/relationships/chart" Target="../charts/chart23.xml"/><Relationship Id="rId6" Type="http://schemas.openxmlformats.org/officeDocument/2006/relationships/chart" Target="../charts/chart28.xml"/><Relationship Id="rId5" Type="http://schemas.openxmlformats.org/officeDocument/2006/relationships/chart" Target="../charts/chart27.xml"/><Relationship Id="rId10" Type="http://schemas.openxmlformats.org/officeDocument/2006/relationships/chart" Target="../charts/chart32.xml"/><Relationship Id="rId4" Type="http://schemas.openxmlformats.org/officeDocument/2006/relationships/chart" Target="../charts/chart26.xml"/><Relationship Id="rId9" Type="http://schemas.openxmlformats.org/officeDocument/2006/relationships/chart" Target="../charts/chart31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3.xml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1.xml"/><Relationship Id="rId13" Type="http://schemas.openxmlformats.org/officeDocument/2006/relationships/chart" Target="../charts/chart46.xml"/><Relationship Id="rId3" Type="http://schemas.openxmlformats.org/officeDocument/2006/relationships/chart" Target="../charts/chart36.xml"/><Relationship Id="rId7" Type="http://schemas.openxmlformats.org/officeDocument/2006/relationships/chart" Target="../charts/chart40.xml"/><Relationship Id="rId12" Type="http://schemas.openxmlformats.org/officeDocument/2006/relationships/chart" Target="../charts/chart45.xml"/><Relationship Id="rId2" Type="http://schemas.openxmlformats.org/officeDocument/2006/relationships/chart" Target="../charts/chart35.xml"/><Relationship Id="rId1" Type="http://schemas.openxmlformats.org/officeDocument/2006/relationships/chart" Target="../charts/chart34.xml"/><Relationship Id="rId6" Type="http://schemas.openxmlformats.org/officeDocument/2006/relationships/chart" Target="../charts/chart39.xml"/><Relationship Id="rId11" Type="http://schemas.openxmlformats.org/officeDocument/2006/relationships/chart" Target="../charts/chart44.xml"/><Relationship Id="rId5" Type="http://schemas.openxmlformats.org/officeDocument/2006/relationships/chart" Target="../charts/chart38.xml"/><Relationship Id="rId10" Type="http://schemas.openxmlformats.org/officeDocument/2006/relationships/chart" Target="../charts/chart43.xml"/><Relationship Id="rId4" Type="http://schemas.openxmlformats.org/officeDocument/2006/relationships/chart" Target="../charts/chart37.xml"/><Relationship Id="rId9" Type="http://schemas.openxmlformats.org/officeDocument/2006/relationships/chart" Target="../charts/chart42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8.xml"/><Relationship Id="rId1" Type="http://schemas.openxmlformats.org/officeDocument/2006/relationships/chart" Target="../charts/chart47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chart" Target="../charts/chart49.xml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0.xml"/><Relationship Id="rId2" Type="http://schemas.openxmlformats.org/officeDocument/2006/relationships/image" Target="../media/image4.svg"/><Relationship Id="rId1" Type="http://schemas.openxmlformats.org/officeDocument/2006/relationships/image" Target="../media/image2.png"/><Relationship Id="rId5" Type="http://schemas.openxmlformats.org/officeDocument/2006/relationships/chart" Target="../charts/chart52.xml"/><Relationship Id="rId4" Type="http://schemas.openxmlformats.org/officeDocument/2006/relationships/chart" Target="../charts/chart51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3.png"/><Relationship Id="rId1" Type="http://schemas.openxmlformats.org/officeDocument/2006/relationships/chart" Target="../charts/chart53.xml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4.xml"/><Relationship Id="rId2" Type="http://schemas.openxmlformats.org/officeDocument/2006/relationships/image" Target="../media/image8.svg"/><Relationship Id="rId1" Type="http://schemas.openxmlformats.org/officeDocument/2006/relationships/image" Target="../media/image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5.xml"/><Relationship Id="rId2" Type="http://schemas.openxmlformats.org/officeDocument/2006/relationships/image" Target="../media/image10.svg"/><Relationship Id="rId1" Type="http://schemas.openxmlformats.org/officeDocument/2006/relationships/image" Target="../media/image5.png"/><Relationship Id="rId4" Type="http://schemas.openxmlformats.org/officeDocument/2006/relationships/chart" Target="../charts/chart56.xml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7.xml"/><Relationship Id="rId2" Type="http://schemas.openxmlformats.org/officeDocument/2006/relationships/image" Target="../media/image12.svg"/><Relationship Id="rId1" Type="http://schemas.openxmlformats.org/officeDocument/2006/relationships/image" Target="../media/image6.png"/><Relationship Id="rId6" Type="http://schemas.openxmlformats.org/officeDocument/2006/relationships/chart" Target="../charts/chart60.xml"/><Relationship Id="rId5" Type="http://schemas.openxmlformats.org/officeDocument/2006/relationships/chart" Target="../charts/chart59.xml"/><Relationship Id="rId4" Type="http://schemas.openxmlformats.org/officeDocument/2006/relationships/chart" Target="../charts/chart58.xml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1.xml"/><Relationship Id="rId2" Type="http://schemas.openxmlformats.org/officeDocument/2006/relationships/image" Target="../media/image14.svg"/><Relationship Id="rId1" Type="http://schemas.openxmlformats.org/officeDocument/2006/relationships/image" Target="../media/image7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2.xml"/><Relationship Id="rId7" Type="http://schemas.openxmlformats.org/officeDocument/2006/relationships/chart" Target="../charts/chart66.xml"/><Relationship Id="rId2" Type="http://schemas.openxmlformats.org/officeDocument/2006/relationships/image" Target="../media/image16.svg"/><Relationship Id="rId1" Type="http://schemas.openxmlformats.org/officeDocument/2006/relationships/image" Target="../media/image8.png"/><Relationship Id="rId6" Type="http://schemas.openxmlformats.org/officeDocument/2006/relationships/chart" Target="../charts/chart65.xml"/><Relationship Id="rId5" Type="http://schemas.openxmlformats.org/officeDocument/2006/relationships/chart" Target="../charts/chart64.xml"/><Relationship Id="rId4" Type="http://schemas.openxmlformats.org/officeDocument/2006/relationships/chart" Target="../charts/chart63.xml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7.xml"/><Relationship Id="rId2" Type="http://schemas.openxmlformats.org/officeDocument/2006/relationships/image" Target="../media/image18.svg"/><Relationship Id="rId1" Type="http://schemas.openxmlformats.org/officeDocument/2006/relationships/image" Target="../media/image9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chart" Target="../charts/chart73.xml"/><Relationship Id="rId3" Type="http://schemas.openxmlformats.org/officeDocument/2006/relationships/chart" Target="../charts/chart68.xml"/><Relationship Id="rId7" Type="http://schemas.openxmlformats.org/officeDocument/2006/relationships/chart" Target="../charts/chart72.xml"/><Relationship Id="rId2" Type="http://schemas.openxmlformats.org/officeDocument/2006/relationships/image" Target="NULL"/><Relationship Id="rId1" Type="http://schemas.openxmlformats.org/officeDocument/2006/relationships/image" Target="../media/image10.png"/><Relationship Id="rId6" Type="http://schemas.openxmlformats.org/officeDocument/2006/relationships/chart" Target="../charts/chart71.xml"/><Relationship Id="rId5" Type="http://schemas.openxmlformats.org/officeDocument/2006/relationships/chart" Target="../charts/chart70.xml"/><Relationship Id="rId4" Type="http://schemas.openxmlformats.org/officeDocument/2006/relationships/chart" Target="../charts/chart69.xml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chart" Target="../charts/chart79.xml"/><Relationship Id="rId13" Type="http://schemas.openxmlformats.org/officeDocument/2006/relationships/chart" Target="../charts/chart84.xml"/><Relationship Id="rId3" Type="http://schemas.openxmlformats.org/officeDocument/2006/relationships/chart" Target="../charts/chart74.xml"/><Relationship Id="rId7" Type="http://schemas.openxmlformats.org/officeDocument/2006/relationships/chart" Target="../charts/chart78.xml"/><Relationship Id="rId12" Type="http://schemas.openxmlformats.org/officeDocument/2006/relationships/chart" Target="../charts/chart83.xml"/><Relationship Id="rId2" Type="http://schemas.openxmlformats.org/officeDocument/2006/relationships/image" Target="NULL"/><Relationship Id="rId1" Type="http://schemas.openxmlformats.org/officeDocument/2006/relationships/image" Target="../media/image11.png"/><Relationship Id="rId6" Type="http://schemas.openxmlformats.org/officeDocument/2006/relationships/chart" Target="../charts/chart77.xml"/><Relationship Id="rId11" Type="http://schemas.openxmlformats.org/officeDocument/2006/relationships/chart" Target="../charts/chart82.xml"/><Relationship Id="rId5" Type="http://schemas.openxmlformats.org/officeDocument/2006/relationships/chart" Target="../charts/chart76.xml"/><Relationship Id="rId10" Type="http://schemas.openxmlformats.org/officeDocument/2006/relationships/chart" Target="../charts/chart81.xml"/><Relationship Id="rId4" Type="http://schemas.openxmlformats.org/officeDocument/2006/relationships/chart" Target="../charts/chart75.xml"/><Relationship Id="rId9" Type="http://schemas.openxmlformats.org/officeDocument/2006/relationships/chart" Target="../charts/chart80.xml"/><Relationship Id="rId14" Type="http://schemas.openxmlformats.org/officeDocument/2006/relationships/chart" Target="../charts/chart85.xml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88.xml"/><Relationship Id="rId2" Type="http://schemas.openxmlformats.org/officeDocument/2006/relationships/chart" Target="../charts/chart87.xml"/><Relationship Id="rId1" Type="http://schemas.openxmlformats.org/officeDocument/2006/relationships/chart" Target="../charts/chart86.xml"/><Relationship Id="rId6" Type="http://schemas.openxmlformats.org/officeDocument/2006/relationships/image" Target="NULL"/><Relationship Id="rId5" Type="http://schemas.openxmlformats.org/officeDocument/2006/relationships/image" Target="../media/image12.png"/><Relationship Id="rId4" Type="http://schemas.openxmlformats.org/officeDocument/2006/relationships/chart" Target="../charts/chart89.xml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NULL"/><Relationship Id="rId2" Type="http://schemas.openxmlformats.org/officeDocument/2006/relationships/image" Target="../media/image13.png"/><Relationship Id="rId1" Type="http://schemas.openxmlformats.org/officeDocument/2006/relationships/chart" Target="../charts/chart90.xml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svg"/><Relationship Id="rId3" Type="http://schemas.openxmlformats.org/officeDocument/2006/relationships/image" Target="../media/image28.svg"/><Relationship Id="rId7" Type="http://schemas.openxmlformats.org/officeDocument/2006/relationships/image" Target="../media/image16.png"/><Relationship Id="rId2" Type="http://schemas.openxmlformats.org/officeDocument/2006/relationships/image" Target="../media/image14.png"/><Relationship Id="rId1" Type="http://schemas.openxmlformats.org/officeDocument/2006/relationships/chart" Target="../charts/chart91.xml"/><Relationship Id="rId6" Type="http://schemas.openxmlformats.org/officeDocument/2006/relationships/image" Target="../media/image30.svg"/><Relationship Id="rId5" Type="http://schemas.openxmlformats.org/officeDocument/2006/relationships/image" Target="../media/image15.png"/><Relationship Id="rId4" Type="http://schemas.openxmlformats.org/officeDocument/2006/relationships/chart" Target="../charts/chart92.xml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chart" Target="../charts/chart98.xml"/><Relationship Id="rId3" Type="http://schemas.openxmlformats.org/officeDocument/2006/relationships/chart" Target="../charts/chart95.xml"/><Relationship Id="rId7" Type="http://schemas.openxmlformats.org/officeDocument/2006/relationships/image" Target="../media/image34.svg"/><Relationship Id="rId2" Type="http://schemas.openxmlformats.org/officeDocument/2006/relationships/chart" Target="../charts/chart94.xml"/><Relationship Id="rId1" Type="http://schemas.openxmlformats.org/officeDocument/2006/relationships/chart" Target="../charts/chart93.xml"/><Relationship Id="rId6" Type="http://schemas.openxmlformats.org/officeDocument/2006/relationships/image" Target="../media/image17.png"/><Relationship Id="rId5" Type="http://schemas.openxmlformats.org/officeDocument/2006/relationships/chart" Target="../charts/chart97.xml"/><Relationship Id="rId4" Type="http://schemas.openxmlformats.org/officeDocument/2006/relationships/chart" Target="../charts/chart96.xml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01.xml"/><Relationship Id="rId2" Type="http://schemas.openxmlformats.org/officeDocument/2006/relationships/chart" Target="../charts/chart100.xml"/><Relationship Id="rId1" Type="http://schemas.openxmlformats.org/officeDocument/2006/relationships/chart" Target="../charts/chart99.xml"/><Relationship Id="rId5" Type="http://schemas.openxmlformats.org/officeDocument/2006/relationships/image" Target="../media/image36.svg"/><Relationship Id="rId4" Type="http://schemas.openxmlformats.org/officeDocument/2006/relationships/image" Target="../media/image18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04.xml"/><Relationship Id="rId2" Type="http://schemas.openxmlformats.org/officeDocument/2006/relationships/chart" Target="../charts/chart103.xml"/><Relationship Id="rId1" Type="http://schemas.openxmlformats.org/officeDocument/2006/relationships/chart" Target="../charts/chart102.xml"/><Relationship Id="rId4" Type="http://schemas.openxmlformats.org/officeDocument/2006/relationships/chart" Target="../charts/chart105.xml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chart" Target="../charts/chart113.xml"/><Relationship Id="rId13" Type="http://schemas.openxmlformats.org/officeDocument/2006/relationships/chart" Target="../charts/chart118.xml"/><Relationship Id="rId3" Type="http://schemas.openxmlformats.org/officeDocument/2006/relationships/chart" Target="../charts/chart108.xml"/><Relationship Id="rId7" Type="http://schemas.openxmlformats.org/officeDocument/2006/relationships/chart" Target="../charts/chart112.xml"/><Relationship Id="rId12" Type="http://schemas.openxmlformats.org/officeDocument/2006/relationships/chart" Target="../charts/chart117.xml"/><Relationship Id="rId2" Type="http://schemas.openxmlformats.org/officeDocument/2006/relationships/chart" Target="../charts/chart107.xml"/><Relationship Id="rId1" Type="http://schemas.openxmlformats.org/officeDocument/2006/relationships/chart" Target="../charts/chart106.xml"/><Relationship Id="rId6" Type="http://schemas.openxmlformats.org/officeDocument/2006/relationships/chart" Target="../charts/chart111.xml"/><Relationship Id="rId11" Type="http://schemas.openxmlformats.org/officeDocument/2006/relationships/chart" Target="../charts/chart116.xml"/><Relationship Id="rId5" Type="http://schemas.openxmlformats.org/officeDocument/2006/relationships/chart" Target="../charts/chart110.xml"/><Relationship Id="rId10" Type="http://schemas.openxmlformats.org/officeDocument/2006/relationships/chart" Target="../charts/chart115.xml"/><Relationship Id="rId4" Type="http://schemas.openxmlformats.org/officeDocument/2006/relationships/chart" Target="../charts/chart109.xml"/><Relationship Id="rId9" Type="http://schemas.openxmlformats.org/officeDocument/2006/relationships/chart" Target="../charts/chart114.xml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21.xml"/><Relationship Id="rId2" Type="http://schemas.openxmlformats.org/officeDocument/2006/relationships/chart" Target="../charts/chart120.xml"/><Relationship Id="rId1" Type="http://schemas.openxmlformats.org/officeDocument/2006/relationships/chart" Target="../charts/chart119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459441</xdr:colOff>
      <xdr:row>1</xdr:row>
      <xdr:rowOff>44823</xdr:rowOff>
    </xdr:from>
    <xdr:to>
      <xdr:col>25</xdr:col>
      <xdr:colOff>368774</xdr:colOff>
      <xdr:row>12</xdr:row>
      <xdr:rowOff>463516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17</xdr:col>
      <xdr:colOff>0</xdr:colOff>
      <xdr:row>14</xdr:row>
      <xdr:rowOff>0</xdr:rowOff>
    </xdr:from>
    <xdr:to>
      <xdr:col>22</xdr:col>
      <xdr:colOff>37897</xdr:colOff>
      <xdr:row>19</xdr:row>
      <xdr:rowOff>294409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504824</xdr:colOff>
      <xdr:row>0</xdr:row>
      <xdr:rowOff>271461</xdr:rowOff>
    </xdr:from>
    <xdr:to>
      <xdr:col>18</xdr:col>
      <xdr:colOff>419099</xdr:colOff>
      <xdr:row>17</xdr:row>
      <xdr:rowOff>47624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</xdr:col>
      <xdr:colOff>457200</xdr:colOff>
      <xdr:row>19</xdr:row>
      <xdr:rowOff>114300</xdr:rowOff>
    </xdr:from>
    <xdr:to>
      <xdr:col>18</xdr:col>
      <xdr:colOff>428625</xdr:colOff>
      <xdr:row>41</xdr:row>
      <xdr:rowOff>14721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182880</xdr:colOff>
      <xdr:row>2</xdr:row>
      <xdr:rowOff>160020</xdr:rowOff>
    </xdr:from>
    <xdr:to>
      <xdr:col>22</xdr:col>
      <xdr:colOff>487680</xdr:colOff>
      <xdr:row>16</xdr:row>
      <xdr:rowOff>17145</xdr:rowOff>
    </xdr:to>
    <xdr:graphicFrame macro="">
      <xdr:nvGraphicFramePr>
        <xdr:cNvPr id="6" name="Диаграмма 5">
          <a:extLst>
            <a:ext uri="{FF2B5EF4-FFF2-40B4-BE49-F238E27FC236}">
              <a16:creationId xmlns="" xmlns:a16="http://schemas.microsoft.com/office/drawing/2014/main" id="{2ACBFA28-9727-4853-AC62-E159DC25F61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89534</xdr:colOff>
      <xdr:row>2</xdr:row>
      <xdr:rowOff>260984</xdr:rowOff>
    </xdr:from>
    <xdr:to>
      <xdr:col>12</xdr:col>
      <xdr:colOff>268604</xdr:colOff>
      <xdr:row>12</xdr:row>
      <xdr:rowOff>70484</xdr:rowOff>
    </xdr:to>
    <xdr:graphicFrame macro="">
      <xdr:nvGraphicFramePr>
        <xdr:cNvPr id="7" name="Диаграмма 6">
          <a:extLst>
            <a:ext uri="{FF2B5EF4-FFF2-40B4-BE49-F238E27FC236}">
              <a16:creationId xmlns="" xmlns:a16="http://schemas.microsoft.com/office/drawing/2014/main" id="{F6CBBD60-C1E8-45A7-A07C-95EAA9079FC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592456</xdr:colOff>
      <xdr:row>12</xdr:row>
      <xdr:rowOff>123825</xdr:rowOff>
    </xdr:from>
    <xdr:to>
      <xdr:col>12</xdr:col>
      <xdr:colOff>148590</xdr:colOff>
      <xdr:row>24</xdr:row>
      <xdr:rowOff>83819</xdr:rowOff>
    </xdr:to>
    <xdr:graphicFrame macro="">
      <xdr:nvGraphicFramePr>
        <xdr:cNvPr id="8" name="Диаграмма 7">
          <a:extLst>
            <a:ext uri="{FF2B5EF4-FFF2-40B4-BE49-F238E27FC236}">
              <a16:creationId xmlns="" xmlns:a16="http://schemas.microsoft.com/office/drawing/2014/main" id="{B39F90BD-1996-4511-BE35-99DA9862BF8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5</xdr:col>
      <xdr:colOff>28574</xdr:colOff>
      <xdr:row>24</xdr:row>
      <xdr:rowOff>144779</xdr:rowOff>
    </xdr:from>
    <xdr:to>
      <xdr:col>10</xdr:col>
      <xdr:colOff>392429</xdr:colOff>
      <xdr:row>35</xdr:row>
      <xdr:rowOff>97154</xdr:rowOff>
    </xdr:to>
    <xdr:graphicFrame macro="">
      <xdr:nvGraphicFramePr>
        <xdr:cNvPr id="9" name="Диаграмма 8">
          <a:extLst>
            <a:ext uri="{FF2B5EF4-FFF2-40B4-BE49-F238E27FC236}">
              <a16:creationId xmlns="" xmlns:a16="http://schemas.microsoft.com/office/drawing/2014/main" id="{2FB2C7BC-F8F9-4299-A069-B5C93C6930E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11430</xdr:colOff>
      <xdr:row>35</xdr:row>
      <xdr:rowOff>106679</xdr:rowOff>
    </xdr:from>
    <xdr:to>
      <xdr:col>12</xdr:col>
      <xdr:colOff>521969</xdr:colOff>
      <xdr:row>49</xdr:row>
      <xdr:rowOff>161925</xdr:rowOff>
    </xdr:to>
    <xdr:graphicFrame macro="">
      <xdr:nvGraphicFramePr>
        <xdr:cNvPr id="10" name="Диаграмма 9">
          <a:extLst>
            <a:ext uri="{FF2B5EF4-FFF2-40B4-BE49-F238E27FC236}">
              <a16:creationId xmlns="" xmlns:a16="http://schemas.microsoft.com/office/drawing/2014/main" id="{36A5B412-24E4-4112-B523-17760EAD51E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12</xdr:col>
      <xdr:colOff>521970</xdr:colOff>
      <xdr:row>45</xdr:row>
      <xdr:rowOff>133351</xdr:rowOff>
    </xdr:from>
    <xdr:to>
      <xdr:col>20</xdr:col>
      <xdr:colOff>217170</xdr:colOff>
      <xdr:row>59</xdr:row>
      <xdr:rowOff>114300</xdr:rowOff>
    </xdr:to>
    <xdr:graphicFrame macro="">
      <xdr:nvGraphicFramePr>
        <xdr:cNvPr id="11" name="Диаграмма 10">
          <a:extLst>
            <a:ext uri="{FF2B5EF4-FFF2-40B4-BE49-F238E27FC236}">
              <a16:creationId xmlns="" xmlns:a16="http://schemas.microsoft.com/office/drawing/2014/main" id="{A01AC12A-C855-4157-9385-7D0935CC949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4</xdr:col>
      <xdr:colOff>436245</xdr:colOff>
      <xdr:row>53</xdr:row>
      <xdr:rowOff>1905</xdr:rowOff>
    </xdr:from>
    <xdr:to>
      <xdr:col>12</xdr:col>
      <xdr:colOff>131445</xdr:colOff>
      <xdr:row>69</xdr:row>
      <xdr:rowOff>1905</xdr:rowOff>
    </xdr:to>
    <xdr:graphicFrame macro="">
      <xdr:nvGraphicFramePr>
        <xdr:cNvPr id="12" name="Диаграмма 11">
          <a:extLst>
            <a:ext uri="{FF2B5EF4-FFF2-40B4-BE49-F238E27FC236}">
              <a16:creationId xmlns="" xmlns:a16="http://schemas.microsoft.com/office/drawing/2014/main" id="{DCC97B63-E00F-4A1C-9A43-AAF87D8C1E5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4</xdr:col>
      <xdr:colOff>445770</xdr:colOff>
      <xdr:row>68</xdr:row>
      <xdr:rowOff>167640</xdr:rowOff>
    </xdr:from>
    <xdr:to>
      <xdr:col>12</xdr:col>
      <xdr:colOff>140970</xdr:colOff>
      <xdr:row>85</xdr:row>
      <xdr:rowOff>38100</xdr:rowOff>
    </xdr:to>
    <xdr:graphicFrame macro="">
      <xdr:nvGraphicFramePr>
        <xdr:cNvPr id="13" name="Диаграмма 12">
          <a:extLst>
            <a:ext uri="{FF2B5EF4-FFF2-40B4-BE49-F238E27FC236}">
              <a16:creationId xmlns="" xmlns:a16="http://schemas.microsoft.com/office/drawing/2014/main" id="{104B07C2-378E-48F0-9B41-2943EA1A97A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4</xdr:col>
      <xdr:colOff>436245</xdr:colOff>
      <xdr:row>85</xdr:row>
      <xdr:rowOff>34290</xdr:rowOff>
    </xdr:from>
    <xdr:to>
      <xdr:col>13</xdr:col>
      <xdr:colOff>220980</xdr:colOff>
      <xdr:row>105</xdr:row>
      <xdr:rowOff>177165</xdr:rowOff>
    </xdr:to>
    <xdr:graphicFrame macro="">
      <xdr:nvGraphicFramePr>
        <xdr:cNvPr id="14" name="Диаграмма 13">
          <a:extLst>
            <a:ext uri="{FF2B5EF4-FFF2-40B4-BE49-F238E27FC236}">
              <a16:creationId xmlns="" xmlns:a16="http://schemas.microsoft.com/office/drawing/2014/main" id="{1ED072CE-946A-4B36-8A58-09241F9E91B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30480</xdr:colOff>
      <xdr:row>0</xdr:row>
      <xdr:rowOff>497205</xdr:rowOff>
    </xdr:from>
    <xdr:to>
      <xdr:col>23</xdr:col>
      <xdr:colOff>335280</xdr:colOff>
      <xdr:row>14</xdr:row>
      <xdr:rowOff>106680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29B440BA-D469-479C-93A7-DB39C9068AE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</xdr:col>
      <xdr:colOff>7620</xdr:colOff>
      <xdr:row>2</xdr:row>
      <xdr:rowOff>26670</xdr:rowOff>
    </xdr:from>
    <xdr:to>
      <xdr:col>11</xdr:col>
      <xdr:colOff>312420</xdr:colOff>
      <xdr:row>14</xdr:row>
      <xdr:rowOff>331470</xdr:rowOff>
    </xdr:to>
    <xdr:graphicFrame macro="">
      <xdr:nvGraphicFramePr>
        <xdr:cNvPr id="5" name="Диаграмма 4">
          <a:extLst>
            <a:ext uri="{FF2B5EF4-FFF2-40B4-BE49-F238E27FC236}">
              <a16:creationId xmlns="" xmlns:a16="http://schemas.microsoft.com/office/drawing/2014/main" id="{13CC2B13-EC45-4572-902F-39EB7C08536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1905</xdr:colOff>
      <xdr:row>15</xdr:row>
      <xdr:rowOff>1905</xdr:rowOff>
    </xdr:from>
    <xdr:to>
      <xdr:col>11</xdr:col>
      <xdr:colOff>306705</xdr:colOff>
      <xdr:row>27</xdr:row>
      <xdr:rowOff>53340</xdr:rowOff>
    </xdr:to>
    <xdr:graphicFrame macro="">
      <xdr:nvGraphicFramePr>
        <xdr:cNvPr id="6" name="Диаграмма 5">
          <a:extLst>
            <a:ext uri="{FF2B5EF4-FFF2-40B4-BE49-F238E27FC236}">
              <a16:creationId xmlns="" xmlns:a16="http://schemas.microsoft.com/office/drawing/2014/main" id="{3CCD3EBA-3C78-4413-A5CD-CDE4871244C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306705</xdr:colOff>
      <xdr:row>21</xdr:row>
      <xdr:rowOff>24765</xdr:rowOff>
    </xdr:from>
    <xdr:to>
      <xdr:col>19</xdr:col>
      <xdr:colOff>1905</xdr:colOff>
      <xdr:row>33</xdr:row>
      <xdr:rowOff>24765</xdr:rowOff>
    </xdr:to>
    <xdr:graphicFrame macro="">
      <xdr:nvGraphicFramePr>
        <xdr:cNvPr id="8" name="Диаграмма 7">
          <a:extLst>
            <a:ext uri="{FF2B5EF4-FFF2-40B4-BE49-F238E27FC236}">
              <a16:creationId xmlns="" xmlns:a16="http://schemas.microsoft.com/office/drawing/2014/main" id="{46B014AD-1600-4FFE-9BDE-B9E2A234ACC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154305</xdr:colOff>
      <xdr:row>34</xdr:row>
      <xdr:rowOff>125730</xdr:rowOff>
    </xdr:from>
    <xdr:to>
      <xdr:col>10</xdr:col>
      <xdr:colOff>459105</xdr:colOff>
      <xdr:row>47</xdr:row>
      <xdr:rowOff>169545</xdr:rowOff>
    </xdr:to>
    <xdr:graphicFrame macro="">
      <xdr:nvGraphicFramePr>
        <xdr:cNvPr id="9" name="Диаграмма 8">
          <a:extLst>
            <a:ext uri="{FF2B5EF4-FFF2-40B4-BE49-F238E27FC236}">
              <a16:creationId xmlns="" xmlns:a16="http://schemas.microsoft.com/office/drawing/2014/main" id="{8873B16C-9551-4FD7-83BB-8C514F41189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10</xdr:col>
      <xdr:colOff>478155</xdr:colOff>
      <xdr:row>43</xdr:row>
      <xdr:rowOff>120015</xdr:rowOff>
    </xdr:from>
    <xdr:to>
      <xdr:col>18</xdr:col>
      <xdr:colOff>173355</xdr:colOff>
      <xdr:row>58</xdr:row>
      <xdr:rowOff>5715</xdr:rowOff>
    </xdr:to>
    <xdr:graphicFrame macro="">
      <xdr:nvGraphicFramePr>
        <xdr:cNvPr id="10" name="Диаграмма 9">
          <a:extLst>
            <a:ext uri="{FF2B5EF4-FFF2-40B4-BE49-F238E27FC236}">
              <a16:creationId xmlns="" xmlns:a16="http://schemas.microsoft.com/office/drawing/2014/main" id="{57AF98C8-3C96-4126-BD60-AC1E4D28DBE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87630</xdr:colOff>
      <xdr:row>55</xdr:row>
      <xdr:rowOff>97154</xdr:rowOff>
    </xdr:from>
    <xdr:to>
      <xdr:col>10</xdr:col>
      <xdr:colOff>392430</xdr:colOff>
      <xdr:row>66</xdr:row>
      <xdr:rowOff>95249</xdr:rowOff>
    </xdr:to>
    <xdr:graphicFrame macro="">
      <xdr:nvGraphicFramePr>
        <xdr:cNvPr id="11" name="Диаграмма 10">
          <a:extLst>
            <a:ext uri="{FF2B5EF4-FFF2-40B4-BE49-F238E27FC236}">
              <a16:creationId xmlns="" xmlns:a16="http://schemas.microsoft.com/office/drawing/2014/main" id="{CF7B4A39-0158-4F9F-888D-23EDC35364E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3</xdr:col>
      <xdr:colOff>97155</xdr:colOff>
      <xdr:row>66</xdr:row>
      <xdr:rowOff>100965</xdr:rowOff>
    </xdr:from>
    <xdr:to>
      <xdr:col>10</xdr:col>
      <xdr:colOff>401955</xdr:colOff>
      <xdr:row>80</xdr:row>
      <xdr:rowOff>24765</xdr:rowOff>
    </xdr:to>
    <xdr:graphicFrame macro="">
      <xdr:nvGraphicFramePr>
        <xdr:cNvPr id="12" name="Диаграмма 11">
          <a:extLst>
            <a:ext uri="{FF2B5EF4-FFF2-40B4-BE49-F238E27FC236}">
              <a16:creationId xmlns="" xmlns:a16="http://schemas.microsoft.com/office/drawing/2014/main" id="{EE270E74-B7C3-4BF4-AD5E-DB0DDE60980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3</xdr:col>
      <xdr:colOff>95250</xdr:colOff>
      <xdr:row>80</xdr:row>
      <xdr:rowOff>26670</xdr:rowOff>
    </xdr:from>
    <xdr:to>
      <xdr:col>10</xdr:col>
      <xdr:colOff>400050</xdr:colOff>
      <xdr:row>94</xdr:row>
      <xdr:rowOff>102870</xdr:rowOff>
    </xdr:to>
    <xdr:graphicFrame macro="">
      <xdr:nvGraphicFramePr>
        <xdr:cNvPr id="13" name="Диаграмма 12">
          <a:extLst>
            <a:ext uri="{FF2B5EF4-FFF2-40B4-BE49-F238E27FC236}">
              <a16:creationId xmlns="" xmlns:a16="http://schemas.microsoft.com/office/drawing/2014/main" id="{2460371C-3FE0-4EC9-87E0-8330574FDF6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104775</xdr:colOff>
      <xdr:row>1</xdr:row>
      <xdr:rowOff>295275</xdr:rowOff>
    </xdr:from>
    <xdr:to>
      <xdr:col>28</xdr:col>
      <xdr:colOff>76200</xdr:colOff>
      <xdr:row>13</xdr:row>
      <xdr:rowOff>485775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17</xdr:col>
      <xdr:colOff>0</xdr:colOff>
      <xdr:row>15</xdr:row>
      <xdr:rowOff>0</xdr:rowOff>
    </xdr:from>
    <xdr:to>
      <xdr:col>25</xdr:col>
      <xdr:colOff>559254</xdr:colOff>
      <xdr:row>25</xdr:row>
      <xdr:rowOff>320882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17</xdr:col>
      <xdr:colOff>0</xdr:colOff>
      <xdr:row>27</xdr:row>
      <xdr:rowOff>0</xdr:rowOff>
    </xdr:from>
    <xdr:to>
      <xdr:col>25</xdr:col>
      <xdr:colOff>559254</xdr:colOff>
      <xdr:row>33</xdr:row>
      <xdr:rowOff>524990</xdr:rowOff>
    </xdr:to>
    <xdr:graphicFrame macro="">
      <xdr:nvGraphicFramePr>
        <xdr:cNvPr id="5" name="Диаграмма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17</xdr:col>
      <xdr:colOff>0</xdr:colOff>
      <xdr:row>34</xdr:row>
      <xdr:rowOff>0</xdr:rowOff>
    </xdr:from>
    <xdr:to>
      <xdr:col>25</xdr:col>
      <xdr:colOff>559254</xdr:colOff>
      <xdr:row>50</xdr:row>
      <xdr:rowOff>184810</xdr:rowOff>
    </xdr:to>
    <xdr:graphicFrame macro="">
      <xdr:nvGraphicFramePr>
        <xdr:cNvPr id="7" name="Диаграмма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17</xdr:col>
      <xdr:colOff>0</xdr:colOff>
      <xdr:row>51</xdr:row>
      <xdr:rowOff>0</xdr:rowOff>
    </xdr:from>
    <xdr:to>
      <xdr:col>25</xdr:col>
      <xdr:colOff>559254</xdr:colOff>
      <xdr:row>73</xdr:row>
      <xdr:rowOff>89560</xdr:rowOff>
    </xdr:to>
    <xdr:graphicFrame macro="">
      <xdr:nvGraphicFramePr>
        <xdr:cNvPr id="9" name="Диаграмма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28</xdr:col>
      <xdr:colOff>0</xdr:colOff>
      <xdr:row>15</xdr:row>
      <xdr:rowOff>0</xdr:rowOff>
    </xdr:from>
    <xdr:to>
      <xdr:col>35</xdr:col>
      <xdr:colOff>254374</xdr:colOff>
      <xdr:row>23</xdr:row>
      <xdr:rowOff>108857</xdr:rowOff>
    </xdr:to>
    <xdr:graphicFrame macro="">
      <xdr:nvGraphicFramePr>
        <xdr:cNvPr id="11" name="Диаграмма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28</xdr:col>
      <xdr:colOff>0</xdr:colOff>
      <xdr:row>25</xdr:row>
      <xdr:rowOff>0</xdr:rowOff>
    </xdr:from>
    <xdr:to>
      <xdr:col>35</xdr:col>
      <xdr:colOff>254374</xdr:colOff>
      <xdr:row>31</xdr:row>
      <xdr:rowOff>449036</xdr:rowOff>
    </xdr:to>
    <xdr:graphicFrame macro="">
      <xdr:nvGraphicFramePr>
        <xdr:cNvPr id="12" name="Диаграмма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28</xdr:col>
      <xdr:colOff>0</xdr:colOff>
      <xdr:row>33</xdr:row>
      <xdr:rowOff>0</xdr:rowOff>
    </xdr:from>
    <xdr:to>
      <xdr:col>35</xdr:col>
      <xdr:colOff>254374</xdr:colOff>
      <xdr:row>40</xdr:row>
      <xdr:rowOff>95250</xdr:rowOff>
    </xdr:to>
    <xdr:graphicFrame macro="">
      <xdr:nvGraphicFramePr>
        <xdr:cNvPr id="13" name="Диаграмма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28</xdr:col>
      <xdr:colOff>0</xdr:colOff>
      <xdr:row>42</xdr:row>
      <xdr:rowOff>0</xdr:rowOff>
    </xdr:from>
    <xdr:to>
      <xdr:col>35</xdr:col>
      <xdr:colOff>254374</xdr:colOff>
      <xdr:row>58</xdr:row>
      <xdr:rowOff>108857</xdr:rowOff>
    </xdr:to>
    <xdr:graphicFrame macro="">
      <xdr:nvGraphicFramePr>
        <xdr:cNvPr id="14" name="Диаграмма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28</xdr:col>
      <xdr:colOff>0</xdr:colOff>
      <xdr:row>60</xdr:row>
      <xdr:rowOff>0</xdr:rowOff>
    </xdr:from>
    <xdr:to>
      <xdr:col>35</xdr:col>
      <xdr:colOff>254374</xdr:colOff>
      <xdr:row>77</xdr:row>
      <xdr:rowOff>95250</xdr:rowOff>
    </xdr:to>
    <xdr:graphicFrame macro="">
      <xdr:nvGraphicFramePr>
        <xdr:cNvPr id="15" name="Диаграмма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392430</xdr:colOff>
      <xdr:row>14</xdr:row>
      <xdr:rowOff>87630</xdr:rowOff>
    </xdr:from>
    <xdr:to>
      <xdr:col>6</xdr:col>
      <xdr:colOff>59055</xdr:colOff>
      <xdr:row>29</xdr:row>
      <xdr:rowOff>106680</xdr:rowOff>
    </xdr:to>
    <xdr:graphicFrame macro="">
      <xdr:nvGraphicFramePr>
        <xdr:cNvPr id="2" name="Диаграмма 1">
          <a:extLst>
            <a:ext uri="{FF2B5EF4-FFF2-40B4-BE49-F238E27FC236}">
              <a16:creationId xmlns:a16="http://schemas.microsoft.com/office/drawing/2014/main" xmlns="" id="{3F4E31A0-C27B-4F3E-AFF4-535010C7C04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169546</xdr:colOff>
      <xdr:row>2</xdr:row>
      <xdr:rowOff>9526</xdr:rowOff>
    </xdr:from>
    <xdr:to>
      <xdr:col>8</xdr:col>
      <xdr:colOff>533401</xdr:colOff>
      <xdr:row>8</xdr:row>
      <xdr:rowOff>120015</xdr:rowOff>
    </xdr:to>
    <xdr:graphicFrame macro="">
      <xdr:nvGraphicFramePr>
        <xdr:cNvPr id="2" name="Диаграмма 1">
          <a:extLst>
            <a:ext uri="{FF2B5EF4-FFF2-40B4-BE49-F238E27FC236}">
              <a16:creationId xmlns:a16="http://schemas.microsoft.com/office/drawing/2014/main" xmlns="" id="{ADA6F997-D1C7-45E4-863E-1094D87C2DA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279082</xdr:colOff>
      <xdr:row>14</xdr:row>
      <xdr:rowOff>133350</xdr:rowOff>
    </xdr:from>
    <xdr:to>
      <xdr:col>9</xdr:col>
      <xdr:colOff>55245</xdr:colOff>
      <xdr:row>22</xdr:row>
      <xdr:rowOff>47625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2913F95B-B5D1-4605-9478-F5F43FD4980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391477</xdr:colOff>
      <xdr:row>24</xdr:row>
      <xdr:rowOff>106681</xdr:rowOff>
    </xdr:from>
    <xdr:to>
      <xdr:col>9</xdr:col>
      <xdr:colOff>28575</xdr:colOff>
      <xdr:row>31</xdr:row>
      <xdr:rowOff>72390</xdr:rowOff>
    </xdr:to>
    <xdr:graphicFrame macro="">
      <xdr:nvGraphicFramePr>
        <xdr:cNvPr id="4" name="Диаграмма 3">
          <a:extLst>
            <a:ext uri="{FF2B5EF4-FFF2-40B4-BE49-F238E27FC236}">
              <a16:creationId xmlns:a16="http://schemas.microsoft.com/office/drawing/2014/main" xmlns="" id="{F68F5A1D-6FAA-468D-9BBD-DB029F7B3ED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13</xdr:col>
      <xdr:colOff>7060</xdr:colOff>
      <xdr:row>8</xdr:row>
      <xdr:rowOff>8741</xdr:rowOff>
    </xdr:from>
    <xdr:to>
      <xdr:col>16</xdr:col>
      <xdr:colOff>951940</xdr:colOff>
      <xdr:row>21</xdr:row>
      <xdr:rowOff>10646</xdr:rowOff>
    </xdr:to>
    <xdr:graphicFrame macro="">
      <xdr:nvGraphicFramePr>
        <xdr:cNvPr id="5" name="Диаграмма 4">
          <a:extLst>
            <a:ext uri="{FF2B5EF4-FFF2-40B4-BE49-F238E27FC236}">
              <a16:creationId xmlns:a16="http://schemas.microsoft.com/office/drawing/2014/main" xmlns="" id="{A97BBAFC-E770-49A5-B60E-B64DE40E67A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320040</xdr:colOff>
      <xdr:row>35</xdr:row>
      <xdr:rowOff>15241</xdr:rowOff>
    </xdr:from>
    <xdr:to>
      <xdr:col>8</xdr:col>
      <xdr:colOff>560070</xdr:colOff>
      <xdr:row>42</xdr:row>
      <xdr:rowOff>38101</xdr:rowOff>
    </xdr:to>
    <xdr:graphicFrame macro="">
      <xdr:nvGraphicFramePr>
        <xdr:cNvPr id="6" name="Диаграмма 5">
          <a:extLst>
            <a:ext uri="{FF2B5EF4-FFF2-40B4-BE49-F238E27FC236}">
              <a16:creationId xmlns:a16="http://schemas.microsoft.com/office/drawing/2014/main" xmlns="" id="{AFFE28E7-9AD7-4F14-948D-43F5C37CFE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532279</xdr:colOff>
      <xdr:row>45</xdr:row>
      <xdr:rowOff>79674</xdr:rowOff>
    </xdr:from>
    <xdr:to>
      <xdr:col>8</xdr:col>
      <xdr:colOff>267036</xdr:colOff>
      <xdr:row>57</xdr:row>
      <xdr:rowOff>29809</xdr:rowOff>
    </xdr:to>
    <xdr:graphicFrame macro="">
      <xdr:nvGraphicFramePr>
        <xdr:cNvPr id="7" name="Диаграмма 6">
          <a:extLst>
            <a:ext uri="{FF2B5EF4-FFF2-40B4-BE49-F238E27FC236}">
              <a16:creationId xmlns:a16="http://schemas.microsoft.com/office/drawing/2014/main" xmlns="" id="{AD59DB8A-BCA9-425F-8CEA-803C58EF72E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515472</xdr:colOff>
      <xdr:row>59</xdr:row>
      <xdr:rowOff>79675</xdr:rowOff>
    </xdr:from>
    <xdr:to>
      <xdr:col>8</xdr:col>
      <xdr:colOff>313765</xdr:colOff>
      <xdr:row>70</xdr:row>
      <xdr:rowOff>171675</xdr:rowOff>
    </xdr:to>
    <xdr:graphicFrame macro="">
      <xdr:nvGraphicFramePr>
        <xdr:cNvPr id="8" name="Диаграмма 7">
          <a:extLst>
            <a:ext uri="{FF2B5EF4-FFF2-40B4-BE49-F238E27FC236}">
              <a16:creationId xmlns:a16="http://schemas.microsoft.com/office/drawing/2014/main" xmlns="" id="{7EDFBD80-58E2-4224-BEBF-A86BC6FF398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3</xdr:col>
      <xdr:colOff>437031</xdr:colOff>
      <xdr:row>73</xdr:row>
      <xdr:rowOff>158116</xdr:rowOff>
    </xdr:from>
    <xdr:to>
      <xdr:col>8</xdr:col>
      <xdr:colOff>280148</xdr:colOff>
      <xdr:row>83</xdr:row>
      <xdr:rowOff>160692</xdr:rowOff>
    </xdr:to>
    <xdr:graphicFrame macro="">
      <xdr:nvGraphicFramePr>
        <xdr:cNvPr id="9" name="Диаграмма 8">
          <a:extLst>
            <a:ext uri="{FF2B5EF4-FFF2-40B4-BE49-F238E27FC236}">
              <a16:creationId xmlns:a16="http://schemas.microsoft.com/office/drawing/2014/main" xmlns="" id="{3677149A-1CB5-44D7-80BD-F2DBE7EB599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3</xdr:col>
      <xdr:colOff>429634</xdr:colOff>
      <xdr:row>87</xdr:row>
      <xdr:rowOff>163606</xdr:rowOff>
    </xdr:from>
    <xdr:to>
      <xdr:col>8</xdr:col>
      <xdr:colOff>259640</xdr:colOff>
      <xdr:row>98</xdr:row>
      <xdr:rowOff>39332</xdr:rowOff>
    </xdr:to>
    <xdr:graphicFrame macro="">
      <xdr:nvGraphicFramePr>
        <xdr:cNvPr id="10" name="Диаграмма 9">
          <a:extLst>
            <a:ext uri="{FF2B5EF4-FFF2-40B4-BE49-F238E27FC236}">
              <a16:creationId xmlns:a16="http://schemas.microsoft.com/office/drawing/2014/main" xmlns="" id="{EC8B40B7-8883-4FE9-AADD-26C19F61AAC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13</xdr:col>
      <xdr:colOff>3587</xdr:colOff>
      <xdr:row>30</xdr:row>
      <xdr:rowOff>4820</xdr:rowOff>
    </xdr:from>
    <xdr:to>
      <xdr:col>17</xdr:col>
      <xdr:colOff>160469</xdr:colOff>
      <xdr:row>43</xdr:row>
      <xdr:rowOff>43592</xdr:rowOff>
    </xdr:to>
    <xdr:graphicFrame macro="">
      <xdr:nvGraphicFramePr>
        <xdr:cNvPr id="11" name="Диаграмма 10">
          <a:extLst>
            <a:ext uri="{FF2B5EF4-FFF2-40B4-BE49-F238E27FC236}">
              <a16:creationId xmlns:a16="http://schemas.microsoft.com/office/drawing/2014/main" xmlns="" id="{0AADE94A-D0D8-4FAC-8B61-29020C54853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12</xdr:col>
      <xdr:colOff>433331</xdr:colOff>
      <xdr:row>57</xdr:row>
      <xdr:rowOff>71045</xdr:rowOff>
    </xdr:from>
    <xdr:to>
      <xdr:col>15</xdr:col>
      <xdr:colOff>1023770</xdr:colOff>
      <xdr:row>87</xdr:row>
      <xdr:rowOff>145676</xdr:rowOff>
    </xdr:to>
    <xdr:graphicFrame macro="">
      <xdr:nvGraphicFramePr>
        <xdr:cNvPr id="12" name="Диаграмма 11">
          <a:extLst>
            <a:ext uri="{FF2B5EF4-FFF2-40B4-BE49-F238E27FC236}">
              <a16:creationId xmlns:a16="http://schemas.microsoft.com/office/drawing/2014/main" xmlns="" id="{B3390FF2-9C23-4347-99B7-A6E6E5682A4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12</xdr:col>
      <xdr:colOff>520849</xdr:colOff>
      <xdr:row>92</xdr:row>
      <xdr:rowOff>60848</xdr:rowOff>
    </xdr:from>
    <xdr:to>
      <xdr:col>15</xdr:col>
      <xdr:colOff>901849</xdr:colOff>
      <xdr:row>105</xdr:row>
      <xdr:rowOff>81642</xdr:rowOff>
    </xdr:to>
    <xdr:graphicFrame macro="">
      <xdr:nvGraphicFramePr>
        <xdr:cNvPr id="13" name="Диаграмма 12">
          <a:extLst>
            <a:ext uri="{FF2B5EF4-FFF2-40B4-BE49-F238E27FC236}">
              <a16:creationId xmlns:a16="http://schemas.microsoft.com/office/drawing/2014/main" xmlns="" id="{0097127A-A791-4941-9FFD-6EC82E59B47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43030</xdr:colOff>
      <xdr:row>105</xdr:row>
      <xdr:rowOff>163606</xdr:rowOff>
    </xdr:from>
    <xdr:to>
      <xdr:col>4</xdr:col>
      <xdr:colOff>749001</xdr:colOff>
      <xdr:row>121</xdr:row>
      <xdr:rowOff>36195</xdr:rowOff>
    </xdr:to>
    <xdr:graphicFrame macro="">
      <xdr:nvGraphicFramePr>
        <xdr:cNvPr id="14" name="Диаграмма 13">
          <a:extLst>
            <a:ext uri="{FF2B5EF4-FFF2-40B4-BE49-F238E27FC236}">
              <a16:creationId xmlns:a16="http://schemas.microsoft.com/office/drawing/2014/main" xmlns="" id="{D0A96804-1411-42DD-A45E-98EF79DDE4F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43030</xdr:colOff>
      <xdr:row>0</xdr:row>
      <xdr:rowOff>0</xdr:rowOff>
    </xdr:from>
    <xdr:to>
      <xdr:col>4</xdr:col>
      <xdr:colOff>749001</xdr:colOff>
      <xdr:row>0</xdr:row>
      <xdr:rowOff>36195</xdr:rowOff>
    </xdr:to>
    <xdr:graphicFrame macro="">
      <xdr:nvGraphicFramePr>
        <xdr:cNvPr id="14" name="Диаграмма 13">
          <a:extLst>
            <a:ext uri="{FF2B5EF4-FFF2-40B4-BE49-F238E27FC236}">
              <a16:creationId xmlns:a16="http://schemas.microsoft.com/office/drawing/2014/main" xmlns="" id="{D0A96804-1411-42DD-A45E-98EF79DDE4F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27630</xdr:colOff>
      <xdr:row>3</xdr:row>
      <xdr:rowOff>154448</xdr:rowOff>
    </xdr:from>
    <xdr:to>
      <xdr:col>15</xdr:col>
      <xdr:colOff>394607</xdr:colOff>
      <xdr:row>22</xdr:row>
      <xdr:rowOff>40823</xdr:rowOff>
    </xdr:to>
    <xdr:graphicFrame macro="">
      <xdr:nvGraphicFramePr>
        <xdr:cNvPr id="15" name="Диаграмма 14">
          <a:extLst>
            <a:ext uri="{FF2B5EF4-FFF2-40B4-BE49-F238E27FC236}">
              <a16:creationId xmlns:a16="http://schemas.microsoft.com/office/drawing/2014/main" xmlns="" id="{EF622FA2-0F75-4FC3-957C-E30584CC43E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361950</xdr:colOff>
      <xdr:row>1</xdr:row>
      <xdr:rowOff>47625</xdr:rowOff>
    </xdr:from>
    <xdr:to>
      <xdr:col>12</xdr:col>
      <xdr:colOff>57150</xdr:colOff>
      <xdr:row>19</xdr:row>
      <xdr:rowOff>85725</xdr:rowOff>
    </xdr:to>
    <xdr:graphicFrame macro="">
      <xdr:nvGraphicFramePr>
        <xdr:cNvPr id="2" name="Диаграмма 1">
          <a:extLst>
            <a:ext uri="{FF2B5EF4-FFF2-40B4-BE49-F238E27FC236}">
              <a16:creationId xmlns:a16="http://schemas.microsoft.com/office/drawing/2014/main" xmlns="" id="{EDAA8BA1-56E4-47B6-A868-2F536E73914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oneCellAnchor>
    <xdr:from>
      <xdr:col>12</xdr:col>
      <xdr:colOff>441959</xdr:colOff>
      <xdr:row>0</xdr:row>
      <xdr:rowOff>177312</xdr:rowOff>
    </xdr:from>
    <xdr:ext cx="5130165" cy="3891766"/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AB1E0370-BDEB-4200-9261-DA50C4B5E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xmlns="" r:embed="rId3"/>
            </a:ext>
          </a:extLst>
        </a:blip>
        <a:stretch>
          <a:fillRect/>
        </a:stretch>
      </xdr:blipFill>
      <xdr:spPr>
        <a:xfrm>
          <a:off x="9881234" y="177312"/>
          <a:ext cx="5130165" cy="3891766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12</xdr:col>
      <xdr:colOff>478351</xdr:colOff>
      <xdr:row>16</xdr:row>
      <xdr:rowOff>40005</xdr:rowOff>
    </xdr:from>
    <xdr:ext cx="4766114" cy="3541395"/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F5D249E9-D617-478E-B30C-A1CF849F8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7793551" y="3088005"/>
          <a:ext cx="4766114" cy="3541395"/>
        </a:xfrm>
        <a:prstGeom prst="rect">
          <a:avLst/>
        </a:prstGeom>
      </xdr:spPr>
    </xdr:pic>
    <xdr:clientData/>
  </xdr:oneCellAnchor>
  <xdr:twoCellAnchor>
    <xdr:from>
      <xdr:col>4</xdr:col>
      <xdr:colOff>262890</xdr:colOff>
      <xdr:row>0</xdr:row>
      <xdr:rowOff>110490</xdr:rowOff>
    </xdr:from>
    <xdr:to>
      <xdr:col>11</xdr:col>
      <xdr:colOff>567690</xdr:colOff>
      <xdr:row>14</xdr:row>
      <xdr:rowOff>179070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84D8904D-B9A1-4CED-B4AE-71828D22695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4</xdr:col>
      <xdr:colOff>179070</xdr:colOff>
      <xdr:row>16</xdr:row>
      <xdr:rowOff>148590</xdr:rowOff>
    </xdr:from>
    <xdr:to>
      <xdr:col>11</xdr:col>
      <xdr:colOff>483870</xdr:colOff>
      <xdr:row>31</xdr:row>
      <xdr:rowOff>173355</xdr:rowOff>
    </xdr:to>
    <xdr:graphicFrame macro="">
      <xdr:nvGraphicFramePr>
        <xdr:cNvPr id="4" name="Диаграмма 3">
          <a:extLst>
            <a:ext uri="{FF2B5EF4-FFF2-40B4-BE49-F238E27FC236}">
              <a16:creationId xmlns:a16="http://schemas.microsoft.com/office/drawing/2014/main" xmlns="" id="{F52BFBD7-B273-49BC-A8FE-ACD10505954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12</xdr:col>
      <xdr:colOff>186690</xdr:colOff>
      <xdr:row>0</xdr:row>
      <xdr:rowOff>152400</xdr:rowOff>
    </xdr:from>
    <xdr:to>
      <xdr:col>19</xdr:col>
      <xdr:colOff>491490</xdr:colOff>
      <xdr:row>15</xdr:row>
      <xdr:rowOff>53340</xdr:rowOff>
    </xdr:to>
    <xdr:graphicFrame macro="">
      <xdr:nvGraphicFramePr>
        <xdr:cNvPr id="5" name="Диаграмма 4">
          <a:extLst>
            <a:ext uri="{FF2B5EF4-FFF2-40B4-BE49-F238E27FC236}">
              <a16:creationId xmlns:a16="http://schemas.microsoft.com/office/drawing/2014/main" xmlns="" id="{6408DB23-DAAE-42F7-BBE5-0054CA509B0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478155</xdr:colOff>
      <xdr:row>10</xdr:row>
      <xdr:rowOff>57150</xdr:rowOff>
    </xdr:from>
    <xdr:to>
      <xdr:col>4</xdr:col>
      <xdr:colOff>525780</xdr:colOff>
      <xdr:row>25</xdr:row>
      <xdr:rowOff>81915</xdr:rowOff>
    </xdr:to>
    <xdr:graphicFrame macro="">
      <xdr:nvGraphicFramePr>
        <xdr:cNvPr id="2" name="Диаграмма 1">
          <a:extLst>
            <a:ext uri="{FF2B5EF4-FFF2-40B4-BE49-F238E27FC236}">
              <a16:creationId xmlns:a16="http://schemas.microsoft.com/office/drawing/2014/main" xmlns="" id="{33FA8DA2-9A72-4E40-ADD0-35678EAAA79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oneCellAnchor>
    <xdr:from>
      <xdr:col>5</xdr:col>
      <xdr:colOff>598955</xdr:colOff>
      <xdr:row>1</xdr:row>
      <xdr:rowOff>160020</xdr:rowOff>
    </xdr:from>
    <xdr:ext cx="5287494" cy="3895725"/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9C2CC64D-04DD-441D-B8E3-AC85219DC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xmlns="" r:embed="rId3"/>
            </a:ext>
          </a:extLst>
        </a:blip>
        <a:stretch>
          <a:fillRect/>
        </a:stretch>
      </xdr:blipFill>
      <xdr:spPr>
        <a:xfrm>
          <a:off x="3646955" y="350520"/>
          <a:ext cx="5287494" cy="3895725"/>
        </a:xfrm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17145</xdr:colOff>
      <xdr:row>0</xdr:row>
      <xdr:rowOff>180496</xdr:rowOff>
    </xdr:from>
    <xdr:ext cx="5831204" cy="4153378"/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6F22034-72CF-4725-80D8-CC149A361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3674745" y="180496"/>
          <a:ext cx="5831204" cy="4153378"/>
        </a:xfrm>
        <a:prstGeom prst="rect">
          <a:avLst/>
        </a:prstGeom>
      </xdr:spPr>
    </xdr:pic>
    <xdr:clientData/>
  </xdr:oneCellAnchor>
  <xdr:twoCellAnchor>
    <xdr:from>
      <xdr:col>0</xdr:col>
      <xdr:colOff>567690</xdr:colOff>
      <xdr:row>12</xdr:row>
      <xdr:rowOff>95250</xdr:rowOff>
    </xdr:from>
    <xdr:to>
      <xdr:col>5</xdr:col>
      <xdr:colOff>510540</xdr:colOff>
      <xdr:row>27</xdr:row>
      <xdr:rowOff>120015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B1DA82F1-0246-47D3-9BEA-BE51365785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1485899</xdr:colOff>
      <xdr:row>1</xdr:row>
      <xdr:rowOff>150498</xdr:rowOff>
    </xdr:from>
    <xdr:ext cx="5113020" cy="3752368"/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2FEEFFCC-40B4-4AE9-998D-5D36F0FA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9143999" y="340998"/>
          <a:ext cx="5113020" cy="3752368"/>
        </a:xfrm>
        <a:prstGeom prst="rect">
          <a:avLst/>
        </a:prstGeom>
      </xdr:spPr>
    </xdr:pic>
    <xdr:clientData/>
  </xdr:oneCellAnchor>
  <xdr:twoCellAnchor>
    <xdr:from>
      <xdr:col>4</xdr:col>
      <xdr:colOff>179069</xdr:colOff>
      <xdr:row>1</xdr:row>
      <xdr:rowOff>179068</xdr:rowOff>
    </xdr:from>
    <xdr:to>
      <xdr:col>14</xdr:col>
      <xdr:colOff>782955</xdr:colOff>
      <xdr:row>18</xdr:row>
      <xdr:rowOff>81915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44E1D9D1-F729-4CE5-B866-086887DFFC8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4</xdr:col>
      <xdr:colOff>163830</xdr:colOff>
      <xdr:row>21</xdr:row>
      <xdr:rowOff>171450</xdr:rowOff>
    </xdr:from>
    <xdr:to>
      <xdr:col>10</xdr:col>
      <xdr:colOff>104775</xdr:colOff>
      <xdr:row>33</xdr:row>
      <xdr:rowOff>116205</xdr:rowOff>
    </xdr:to>
    <xdr:graphicFrame macro="">
      <xdr:nvGraphicFramePr>
        <xdr:cNvPr id="4" name="Диаграмма 3">
          <a:extLst>
            <a:ext uri="{FF2B5EF4-FFF2-40B4-BE49-F238E27FC236}">
              <a16:creationId xmlns:a16="http://schemas.microsoft.com/office/drawing/2014/main" xmlns="" id="{DE03F84A-01F1-47F2-93A9-2F078842C13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489857</xdr:colOff>
      <xdr:row>4</xdr:row>
      <xdr:rowOff>91440</xdr:rowOff>
    </xdr:from>
    <xdr:ext cx="5954213" cy="3845437"/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44E10339-ED96-4938-AEBE-2D200DF9D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12072257" y="853440"/>
          <a:ext cx="5954213" cy="3845437"/>
        </a:xfrm>
        <a:prstGeom prst="rect">
          <a:avLst/>
        </a:prstGeom>
      </xdr:spPr>
    </xdr:pic>
    <xdr:clientData/>
  </xdr:oneCellAnchor>
  <xdr:twoCellAnchor>
    <xdr:from>
      <xdr:col>6</xdr:col>
      <xdr:colOff>385897</xdr:colOff>
      <xdr:row>1</xdr:row>
      <xdr:rowOff>151311</xdr:rowOff>
    </xdr:from>
    <xdr:to>
      <xdr:col>12</xdr:col>
      <xdr:colOff>480059</xdr:colOff>
      <xdr:row>13</xdr:row>
      <xdr:rowOff>0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AC0FF386-145F-42E6-9B0E-4D2951C7F15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386715</xdr:colOff>
      <xdr:row>13</xdr:row>
      <xdr:rowOff>0</xdr:rowOff>
    </xdr:from>
    <xdr:to>
      <xdr:col>14</xdr:col>
      <xdr:colOff>554084</xdr:colOff>
      <xdr:row>31</xdr:row>
      <xdr:rowOff>52524</xdr:rowOff>
    </xdr:to>
    <xdr:graphicFrame macro="">
      <xdr:nvGraphicFramePr>
        <xdr:cNvPr id="4" name="Диаграмма 3">
          <a:extLst>
            <a:ext uri="{FF2B5EF4-FFF2-40B4-BE49-F238E27FC236}">
              <a16:creationId xmlns:a16="http://schemas.microsoft.com/office/drawing/2014/main" xmlns="" id="{9C329EE4-4118-4217-87B3-C4CA4B5CA6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367393</xdr:colOff>
      <xdr:row>29</xdr:row>
      <xdr:rowOff>103687</xdr:rowOff>
    </xdr:from>
    <xdr:to>
      <xdr:col>4</xdr:col>
      <xdr:colOff>301262</xdr:colOff>
      <xdr:row>45</xdr:row>
      <xdr:rowOff>14696</xdr:rowOff>
    </xdr:to>
    <xdr:graphicFrame macro="">
      <xdr:nvGraphicFramePr>
        <xdr:cNvPr id="5" name="Диаграмма 4">
          <a:extLst>
            <a:ext uri="{FF2B5EF4-FFF2-40B4-BE49-F238E27FC236}">
              <a16:creationId xmlns:a16="http://schemas.microsoft.com/office/drawing/2014/main" xmlns="" id="{979471EA-560F-414A-B0F1-8D852A0EA8A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361405</xdr:colOff>
      <xdr:row>13</xdr:row>
      <xdr:rowOff>84365</xdr:rowOff>
    </xdr:from>
    <xdr:to>
      <xdr:col>6</xdr:col>
      <xdr:colOff>176892</xdr:colOff>
      <xdr:row>28</xdr:row>
      <xdr:rowOff>172266</xdr:rowOff>
    </xdr:to>
    <xdr:graphicFrame macro="">
      <xdr:nvGraphicFramePr>
        <xdr:cNvPr id="6" name="Диаграмма 5">
          <a:extLst>
            <a:ext uri="{FF2B5EF4-FFF2-40B4-BE49-F238E27FC236}">
              <a16:creationId xmlns:a16="http://schemas.microsoft.com/office/drawing/2014/main" xmlns="" id="{4FB9D6B1-B4AC-4622-ADAB-8BDCFFAEE9F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15</xdr:col>
      <xdr:colOff>38100</xdr:colOff>
      <xdr:row>1</xdr:row>
      <xdr:rowOff>104775</xdr:rowOff>
    </xdr:from>
    <xdr:ext cx="6343650" cy="4098776"/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4DD4820D-9B81-413B-BDE6-02C1A6F44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9182100" y="295275"/>
          <a:ext cx="6343650" cy="4098776"/>
        </a:xfrm>
        <a:prstGeom prst="rect">
          <a:avLst/>
        </a:prstGeom>
      </xdr:spPr>
    </xdr:pic>
    <xdr:clientData/>
  </xdr:oneCellAnchor>
  <xdr:twoCellAnchor>
    <xdr:from>
      <xdr:col>4</xdr:col>
      <xdr:colOff>497206</xdr:colOff>
      <xdr:row>0</xdr:row>
      <xdr:rowOff>163830</xdr:rowOff>
    </xdr:from>
    <xdr:to>
      <xdr:col>9</xdr:col>
      <xdr:colOff>201930</xdr:colOff>
      <xdr:row>9</xdr:row>
      <xdr:rowOff>66675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EADD9352-B11F-49C9-A650-0CB61E94ADF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538298</xdr:colOff>
      <xdr:row>6</xdr:row>
      <xdr:rowOff>80282</xdr:rowOff>
    </xdr:from>
    <xdr:ext cx="6671039" cy="4579893"/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7F165BDE-36D9-4E27-9AE1-7FD3825A4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9072698" y="1223282"/>
          <a:ext cx="6671039" cy="4579893"/>
        </a:xfrm>
        <a:prstGeom prst="rect">
          <a:avLst/>
        </a:prstGeom>
      </xdr:spPr>
    </xdr:pic>
    <xdr:clientData/>
  </xdr:oneCellAnchor>
  <xdr:twoCellAnchor>
    <xdr:from>
      <xdr:col>6</xdr:col>
      <xdr:colOff>18640</xdr:colOff>
      <xdr:row>0</xdr:row>
      <xdr:rowOff>78377</xdr:rowOff>
    </xdr:from>
    <xdr:to>
      <xdr:col>12</xdr:col>
      <xdr:colOff>188730</xdr:colOff>
      <xdr:row>11</xdr:row>
      <xdr:rowOff>121376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0B26D1AA-4953-4CEC-B95C-F417E4B3724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19866</xdr:colOff>
      <xdr:row>18</xdr:row>
      <xdr:rowOff>855888</xdr:rowOff>
    </xdr:from>
    <xdr:to>
      <xdr:col>10</xdr:col>
      <xdr:colOff>79738</xdr:colOff>
      <xdr:row>24</xdr:row>
      <xdr:rowOff>13608</xdr:rowOff>
    </xdr:to>
    <xdr:graphicFrame macro="">
      <xdr:nvGraphicFramePr>
        <xdr:cNvPr id="4" name="Диаграмма 3">
          <a:extLst>
            <a:ext uri="{FF2B5EF4-FFF2-40B4-BE49-F238E27FC236}">
              <a16:creationId xmlns:a16="http://schemas.microsoft.com/office/drawing/2014/main" xmlns="" id="{D795A85A-0306-43B3-9959-03511AC27A4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606607</xdr:colOff>
      <xdr:row>39</xdr:row>
      <xdr:rowOff>171996</xdr:rowOff>
    </xdr:from>
    <xdr:to>
      <xdr:col>9</xdr:col>
      <xdr:colOff>375285</xdr:colOff>
      <xdr:row>47</xdr:row>
      <xdr:rowOff>167096</xdr:rowOff>
    </xdr:to>
    <xdr:graphicFrame macro="">
      <xdr:nvGraphicFramePr>
        <xdr:cNvPr id="5" name="Диаграмма 4">
          <a:extLst>
            <a:ext uri="{FF2B5EF4-FFF2-40B4-BE49-F238E27FC236}">
              <a16:creationId xmlns:a16="http://schemas.microsoft.com/office/drawing/2014/main" xmlns="" id="{813493B3-F418-4357-9517-72F4D4F59B9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6</xdr:col>
      <xdr:colOff>13606</xdr:colOff>
      <xdr:row>15</xdr:row>
      <xdr:rowOff>45447</xdr:rowOff>
    </xdr:from>
    <xdr:to>
      <xdr:col>12</xdr:col>
      <xdr:colOff>163285</xdr:colOff>
      <xdr:row>18</xdr:row>
      <xdr:rowOff>421004</xdr:rowOff>
    </xdr:to>
    <xdr:graphicFrame macro="">
      <xdr:nvGraphicFramePr>
        <xdr:cNvPr id="6" name="Диаграмма 5">
          <a:extLst>
            <a:ext uri="{FF2B5EF4-FFF2-40B4-BE49-F238E27FC236}">
              <a16:creationId xmlns:a16="http://schemas.microsoft.com/office/drawing/2014/main" xmlns="" id="{D804C518-287E-4F66-924E-714580C4F5B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6</xdr:col>
      <xdr:colOff>1905</xdr:colOff>
      <xdr:row>27</xdr:row>
      <xdr:rowOff>23405</xdr:rowOff>
    </xdr:from>
    <xdr:to>
      <xdr:col>12</xdr:col>
      <xdr:colOff>171178</xdr:colOff>
      <xdr:row>37</xdr:row>
      <xdr:rowOff>95523</xdr:rowOff>
    </xdr:to>
    <xdr:graphicFrame macro="">
      <xdr:nvGraphicFramePr>
        <xdr:cNvPr id="7" name="Диаграмма 6">
          <a:extLst>
            <a:ext uri="{FF2B5EF4-FFF2-40B4-BE49-F238E27FC236}">
              <a16:creationId xmlns:a16="http://schemas.microsoft.com/office/drawing/2014/main" xmlns="" id="{94D5C670-9245-4B00-9807-22ECF8C797B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558165</xdr:colOff>
      <xdr:row>3</xdr:row>
      <xdr:rowOff>152400</xdr:rowOff>
    </xdr:from>
    <xdr:ext cx="6075521" cy="4181248"/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9EE461CB-32AD-4D94-9797-BA4E2D133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=""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5434965" y="723900"/>
          <a:ext cx="6075521" cy="4181248"/>
        </a:xfrm>
        <a:prstGeom prst="rect">
          <a:avLst/>
        </a:prstGeom>
      </xdr:spPr>
    </xdr:pic>
    <xdr:clientData/>
  </xdr:oneCellAnchor>
  <xdr:twoCellAnchor>
    <xdr:from>
      <xdr:col>0</xdr:col>
      <xdr:colOff>390526</xdr:colOff>
      <xdr:row>8</xdr:row>
      <xdr:rowOff>123825</xdr:rowOff>
    </xdr:from>
    <xdr:to>
      <xdr:col>8</xdr:col>
      <xdr:colOff>9526</xdr:colOff>
      <xdr:row>30</xdr:row>
      <xdr:rowOff>19050</xdr:rowOff>
    </xdr:to>
    <xdr:graphicFrame macro="">
      <xdr:nvGraphicFramePr>
        <xdr:cNvPr id="3" name="Диаграмма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589862</xdr:colOff>
      <xdr:row>1</xdr:row>
      <xdr:rowOff>264999</xdr:rowOff>
    </xdr:from>
    <xdr:ext cx="9620448" cy="6257663"/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7C0E56CE-C1F0-4647-A5CA-71D270665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12381812" y="426924"/>
          <a:ext cx="9620448" cy="6257663"/>
        </a:xfrm>
        <a:prstGeom prst="rect">
          <a:avLst/>
        </a:prstGeom>
      </xdr:spPr>
    </xdr:pic>
    <xdr:clientData/>
  </xdr:oneCellAnchor>
  <xdr:twoCellAnchor>
    <xdr:from>
      <xdr:col>1</xdr:col>
      <xdr:colOff>341282</xdr:colOff>
      <xdr:row>3</xdr:row>
      <xdr:rowOff>81643</xdr:rowOff>
    </xdr:from>
    <xdr:to>
      <xdr:col>3</xdr:col>
      <xdr:colOff>528085</xdr:colOff>
      <xdr:row>13</xdr:row>
      <xdr:rowOff>75641</xdr:rowOff>
    </xdr:to>
    <xdr:graphicFrame macro="">
      <xdr:nvGraphicFramePr>
        <xdr:cNvPr id="31" name="Диаграмма 30">
          <a:extLst>
            <a:ext uri="{FF2B5EF4-FFF2-40B4-BE49-F238E27FC236}">
              <a16:creationId xmlns:a16="http://schemas.microsoft.com/office/drawing/2014/main" xmlns="" id="{B675333C-939E-4EB3-88A9-B704F484E29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575039</xdr:colOff>
      <xdr:row>3</xdr:row>
      <xdr:rowOff>33746</xdr:rowOff>
    </xdr:from>
    <xdr:to>
      <xdr:col>9</xdr:col>
      <xdr:colOff>204107</xdr:colOff>
      <xdr:row>13</xdr:row>
      <xdr:rowOff>40822</xdr:rowOff>
    </xdr:to>
    <xdr:graphicFrame macro="">
      <xdr:nvGraphicFramePr>
        <xdr:cNvPr id="32" name="Диаграмма 31">
          <a:extLst>
            <a:ext uri="{FF2B5EF4-FFF2-40B4-BE49-F238E27FC236}">
              <a16:creationId xmlns:a16="http://schemas.microsoft.com/office/drawing/2014/main" xmlns="" id="{6E2E47D9-83DF-412A-9201-B95860E724D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7</xdr:col>
      <xdr:colOff>5715</xdr:colOff>
      <xdr:row>17</xdr:row>
      <xdr:rowOff>20139</xdr:rowOff>
    </xdr:from>
    <xdr:to>
      <xdr:col>9</xdr:col>
      <xdr:colOff>227512</xdr:colOff>
      <xdr:row>26</xdr:row>
      <xdr:rowOff>42727</xdr:rowOff>
    </xdr:to>
    <xdr:graphicFrame macro="">
      <xdr:nvGraphicFramePr>
        <xdr:cNvPr id="33" name="Диаграмма 32">
          <a:extLst>
            <a:ext uri="{FF2B5EF4-FFF2-40B4-BE49-F238E27FC236}">
              <a16:creationId xmlns:a16="http://schemas.microsoft.com/office/drawing/2014/main" xmlns="" id="{E150E82F-1159-4040-820E-64F13D5F7C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604429</xdr:colOff>
      <xdr:row>17</xdr:row>
      <xdr:rowOff>60960</xdr:rowOff>
    </xdr:from>
    <xdr:to>
      <xdr:col>3</xdr:col>
      <xdr:colOff>37012</xdr:colOff>
      <xdr:row>24</xdr:row>
      <xdr:rowOff>17418</xdr:rowOff>
    </xdr:to>
    <xdr:graphicFrame macro="">
      <xdr:nvGraphicFramePr>
        <xdr:cNvPr id="34" name="Диаграмма 33">
          <a:extLst>
            <a:ext uri="{FF2B5EF4-FFF2-40B4-BE49-F238E27FC236}">
              <a16:creationId xmlns:a16="http://schemas.microsoft.com/office/drawing/2014/main" xmlns="" id="{29C8D9DD-143C-4B7D-A0A6-F1F7DBB50C9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606335</xdr:colOff>
      <xdr:row>32</xdr:row>
      <xdr:rowOff>169817</xdr:rowOff>
    </xdr:from>
    <xdr:to>
      <xdr:col>4</xdr:col>
      <xdr:colOff>1010739</xdr:colOff>
      <xdr:row>46</xdr:row>
      <xdr:rowOff>158659</xdr:rowOff>
    </xdr:to>
    <xdr:graphicFrame macro="">
      <xdr:nvGraphicFramePr>
        <xdr:cNvPr id="35" name="Диаграмма 34">
          <a:extLst>
            <a:ext uri="{FF2B5EF4-FFF2-40B4-BE49-F238E27FC236}">
              <a16:creationId xmlns:a16="http://schemas.microsoft.com/office/drawing/2014/main" xmlns="" id="{51B9F004-42E4-4EE4-8DBD-F5DE12E290E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6</xdr:col>
      <xdr:colOff>600619</xdr:colOff>
      <xdr:row>31</xdr:row>
      <xdr:rowOff>45448</xdr:rowOff>
    </xdr:from>
    <xdr:to>
      <xdr:col>11</xdr:col>
      <xdr:colOff>274047</xdr:colOff>
      <xdr:row>45</xdr:row>
      <xdr:rowOff>38100</xdr:rowOff>
    </xdr:to>
    <xdr:graphicFrame macro="">
      <xdr:nvGraphicFramePr>
        <xdr:cNvPr id="36" name="Диаграмма 35">
          <a:extLst>
            <a:ext uri="{FF2B5EF4-FFF2-40B4-BE49-F238E27FC236}">
              <a16:creationId xmlns:a16="http://schemas.microsoft.com/office/drawing/2014/main" xmlns="" id="{B9981B7A-31E6-43B1-BA00-4B34C4862CE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9526</xdr:colOff>
      <xdr:row>5</xdr:row>
      <xdr:rowOff>9526</xdr:rowOff>
    </xdr:from>
    <xdr:to>
      <xdr:col>20</xdr:col>
      <xdr:colOff>295276</xdr:colOff>
      <xdr:row>10</xdr:row>
      <xdr:rowOff>28575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xmlns="" id="{F22C7062-AF03-40D7-85C4-86981D4324EA}"/>
            </a:ext>
          </a:extLst>
        </xdr:cNvPr>
        <xdr:cNvSpPr/>
      </xdr:nvSpPr>
      <xdr:spPr>
        <a:xfrm>
          <a:off x="11572876" y="2057401"/>
          <a:ext cx="3943350" cy="1466849"/>
        </a:xfrm>
        <a:prstGeom prst="rect">
          <a:avLst/>
        </a:prstGeom>
        <a:noFill/>
        <a:ln>
          <a:solidFill>
            <a:schemeClr val="accent1">
              <a:alpha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lIns="102317" tIns="51160" rIns="102317" bIns="51160" rtlCol="0" anchor="ctr"/>
        <a:lstStyle>
          <a:defPPr lvl="0">
            <a:defRPr lang="ru-RU"/>
          </a:defPPr>
          <a:lvl1pPr marL="0" lvl="1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89629" lvl="2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79282" lvl="3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2068907" lvl="4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758550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448187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4137825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827462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517109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defTabSz="1432455"/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В рамках осуществления лицензионного контроля </a:t>
          </a:r>
          <a:br>
            <a:rPr lang="ru-RU" sz="1200">
              <a:solidFill>
                <a:schemeClr val="tx1"/>
              </a:solidFill>
              <a:cs typeface="Arial" panose="020B0604020202020204" pitchFamily="34" charset="0"/>
            </a:rPr>
          </a:b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в отношении лицензиатов проведено </a:t>
          </a: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Х 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проверки </a:t>
          </a:r>
        </a:p>
        <a:p>
          <a:pPr algn="ctr" defTabSz="1432455"/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(АППГ – </a:t>
          </a: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254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) по результатам которых возбуждено </a:t>
          </a: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Х 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дел об административных правонарушениях </a:t>
          </a:r>
        </a:p>
        <a:p>
          <a:pPr algn="ctr" defTabSz="1432455"/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(АППГ – </a:t>
          </a: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377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)</a:t>
          </a:r>
        </a:p>
      </xdr:txBody>
    </xdr:sp>
    <xdr:clientData/>
  </xdr:twoCellAnchor>
  <xdr:twoCellAnchor>
    <xdr:from>
      <xdr:col>14</xdr:col>
      <xdr:colOff>9525</xdr:colOff>
      <xdr:row>19</xdr:row>
      <xdr:rowOff>190499</xdr:rowOff>
    </xdr:from>
    <xdr:to>
      <xdr:col>19</xdr:col>
      <xdr:colOff>516479</xdr:colOff>
      <xdr:row>26</xdr:row>
      <xdr:rowOff>66204</xdr:rowOff>
    </xdr:to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xmlns="" id="{7C2E80AF-294D-49E6-B4D0-E5B359B55A3A}"/>
            </a:ext>
          </a:extLst>
        </xdr:cNvPr>
        <xdr:cNvSpPr/>
      </xdr:nvSpPr>
      <xdr:spPr>
        <a:xfrm>
          <a:off x="11572875" y="5591174"/>
          <a:ext cx="3554954" cy="1485430"/>
        </a:xfrm>
        <a:prstGeom prst="rect">
          <a:avLst/>
        </a:prstGeom>
        <a:noFill/>
        <a:ln>
          <a:solidFill>
            <a:schemeClr val="accent1">
              <a:alpha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lIns="102317" tIns="51160" rIns="102317" bIns="51160" rtlCol="0" anchor="ctr"/>
        <a:lstStyle>
          <a:defPPr lvl="0">
            <a:defRPr lang="ru-RU"/>
          </a:defPPr>
          <a:lvl1pPr marL="0" lvl="1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689629" lvl="2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1379282" lvl="3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2068907" lvl="4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2758550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3448187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4137825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4827462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5517109" algn="l" defTabSz="1379282" rtl="0" eaLnBrk="1" latinLnBrk="0" hangingPunct="1">
            <a:defRPr sz="27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defTabSz="1432455"/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В рамках осуществления лицензионного контроля </a:t>
          </a:r>
          <a:br>
            <a:rPr lang="ru-RU" sz="1200">
              <a:solidFill>
                <a:schemeClr val="tx1"/>
              </a:solidFill>
              <a:cs typeface="Arial" panose="020B0604020202020204" pitchFamily="34" charset="0"/>
            </a:rPr>
          </a:b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в отношении лицензиатов проведено </a:t>
          </a: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Х 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проверок (АППГ – </a:t>
          </a: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14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) по результатам которых возбуждено </a:t>
          </a:r>
          <a:br>
            <a:rPr lang="ru-RU" sz="1200">
              <a:solidFill>
                <a:schemeClr val="tx1"/>
              </a:solidFill>
              <a:cs typeface="Arial" panose="020B0604020202020204" pitchFamily="34" charset="0"/>
            </a:rPr>
          </a:b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Х 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дел об административных правонарушениях</a:t>
          </a:r>
          <a:br>
            <a:rPr lang="ru-RU" sz="1200">
              <a:solidFill>
                <a:schemeClr val="tx1"/>
              </a:solidFill>
              <a:cs typeface="Arial" panose="020B0604020202020204" pitchFamily="34" charset="0"/>
            </a:rPr>
          </a:b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(АППГ - </a:t>
          </a:r>
          <a:r>
            <a:rPr lang="ru-RU" sz="1200" b="1">
              <a:solidFill>
                <a:schemeClr val="accent2"/>
              </a:solidFill>
              <a:cs typeface="Arial" panose="020B0604020202020204" pitchFamily="34" charset="0"/>
            </a:rPr>
            <a:t>10</a:t>
          </a:r>
          <a:r>
            <a:rPr lang="ru-RU" sz="1200">
              <a:solidFill>
                <a:schemeClr val="tx1"/>
              </a:solidFill>
              <a:cs typeface="Arial" panose="020B0604020202020204" pitchFamily="34" charset="0"/>
            </a:rPr>
            <a:t>)</a:t>
          </a:r>
        </a:p>
      </xdr:txBody>
    </xdr:sp>
    <xdr:clientData/>
  </xdr:twoCellAnchor>
  <xdr:oneCellAnchor>
    <xdr:from>
      <xdr:col>23</xdr:col>
      <xdr:colOff>25037</xdr:colOff>
      <xdr:row>46</xdr:row>
      <xdr:rowOff>23071</xdr:rowOff>
    </xdr:from>
    <xdr:ext cx="6247311" cy="4049002"/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A56AB186-9620-4A42-AF34-5C64FC168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17074787" y="11072071"/>
          <a:ext cx="6247311" cy="4049002"/>
        </a:xfrm>
        <a:prstGeom prst="rect">
          <a:avLst/>
        </a:prstGeom>
      </xdr:spPr>
    </xdr:pic>
    <xdr:clientData/>
  </xdr:oneCellAnchor>
  <xdr:twoCellAnchor>
    <xdr:from>
      <xdr:col>23</xdr:col>
      <xdr:colOff>13607</xdr:colOff>
      <xdr:row>17</xdr:row>
      <xdr:rowOff>16330</xdr:rowOff>
    </xdr:from>
    <xdr:to>
      <xdr:col>27</xdr:col>
      <xdr:colOff>449035</xdr:colOff>
      <xdr:row>30</xdr:row>
      <xdr:rowOff>92530</xdr:rowOff>
    </xdr:to>
    <xdr:graphicFrame macro="">
      <xdr:nvGraphicFramePr>
        <xdr:cNvPr id="5" name="Диаграмма 4">
          <a:extLst>
            <a:ext uri="{FF2B5EF4-FFF2-40B4-BE49-F238E27FC236}">
              <a16:creationId xmlns:a16="http://schemas.microsoft.com/office/drawing/2014/main" xmlns="" id="{D508298A-552E-4B76-8F6D-F287FF25A8B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23</xdr:col>
      <xdr:colOff>34018</xdr:colOff>
      <xdr:row>30</xdr:row>
      <xdr:rowOff>166008</xdr:rowOff>
    </xdr:from>
    <xdr:to>
      <xdr:col>27</xdr:col>
      <xdr:colOff>469446</xdr:colOff>
      <xdr:row>45</xdr:row>
      <xdr:rowOff>51708</xdr:rowOff>
    </xdr:to>
    <xdr:graphicFrame macro="">
      <xdr:nvGraphicFramePr>
        <xdr:cNvPr id="6" name="Диаграмма 5">
          <a:extLst>
            <a:ext uri="{FF2B5EF4-FFF2-40B4-BE49-F238E27FC236}">
              <a16:creationId xmlns:a16="http://schemas.microsoft.com/office/drawing/2014/main" xmlns="" id="{9636EE42-7C5C-4ECA-BF04-6F6296DD952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31</xdr:col>
      <xdr:colOff>334132</xdr:colOff>
      <xdr:row>8</xdr:row>
      <xdr:rowOff>200781</xdr:rowOff>
    </xdr:from>
    <xdr:to>
      <xdr:col>33</xdr:col>
      <xdr:colOff>9073</xdr:colOff>
      <xdr:row>21</xdr:row>
      <xdr:rowOff>50195</xdr:rowOff>
    </xdr:to>
    <xdr:graphicFrame macro="">
      <xdr:nvGraphicFramePr>
        <xdr:cNvPr id="7" name="Диаграмма 6">
          <a:extLst>
            <a:ext uri="{FF2B5EF4-FFF2-40B4-BE49-F238E27FC236}">
              <a16:creationId xmlns:a16="http://schemas.microsoft.com/office/drawing/2014/main" xmlns="" id="{71AC869B-A223-4651-9337-07051FA7BEA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36</xdr:col>
      <xdr:colOff>6048</xdr:colOff>
      <xdr:row>9</xdr:row>
      <xdr:rowOff>2723</xdr:rowOff>
    </xdr:from>
    <xdr:to>
      <xdr:col>43</xdr:col>
      <xdr:colOff>293309</xdr:colOff>
      <xdr:row>21</xdr:row>
      <xdr:rowOff>53220</xdr:rowOff>
    </xdr:to>
    <xdr:graphicFrame macro="">
      <xdr:nvGraphicFramePr>
        <xdr:cNvPr id="8" name="Диаграмма 7">
          <a:extLst>
            <a:ext uri="{FF2B5EF4-FFF2-40B4-BE49-F238E27FC236}">
              <a16:creationId xmlns:a16="http://schemas.microsoft.com/office/drawing/2014/main" xmlns="" id="{036B301E-2282-48C9-9D24-2A73AF47536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2</xdr:col>
      <xdr:colOff>0</xdr:colOff>
      <xdr:row>6</xdr:row>
      <xdr:rowOff>339091</xdr:rowOff>
    </xdr:from>
    <xdr:to>
      <xdr:col>5</xdr:col>
      <xdr:colOff>13607</xdr:colOff>
      <xdr:row>15</xdr:row>
      <xdr:rowOff>272143</xdr:rowOff>
    </xdr:to>
    <xdr:graphicFrame macro="">
      <xdr:nvGraphicFramePr>
        <xdr:cNvPr id="9" name="Диаграмма 8">
          <a:extLst>
            <a:ext uri="{FF2B5EF4-FFF2-40B4-BE49-F238E27FC236}">
              <a16:creationId xmlns:a16="http://schemas.microsoft.com/office/drawing/2014/main" xmlns="" id="{67B1D92B-5AA5-42B2-BE05-8C6BC4BE121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</xdr:col>
      <xdr:colOff>612321</xdr:colOff>
      <xdr:row>21</xdr:row>
      <xdr:rowOff>16329</xdr:rowOff>
    </xdr:from>
    <xdr:to>
      <xdr:col>5</xdr:col>
      <xdr:colOff>277857</xdr:colOff>
      <xdr:row>32</xdr:row>
      <xdr:rowOff>58239</xdr:rowOff>
    </xdr:to>
    <xdr:graphicFrame macro="">
      <xdr:nvGraphicFramePr>
        <xdr:cNvPr id="10" name="Диаграмма 9">
          <a:extLst>
            <a:ext uri="{FF2B5EF4-FFF2-40B4-BE49-F238E27FC236}">
              <a16:creationId xmlns:a16="http://schemas.microsoft.com/office/drawing/2014/main" xmlns="" id="{0553FA0E-7DB1-4B34-B967-94A5CD282CD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8</xdr:col>
      <xdr:colOff>7620</xdr:colOff>
      <xdr:row>7</xdr:row>
      <xdr:rowOff>20139</xdr:rowOff>
    </xdr:from>
    <xdr:to>
      <xdr:col>11</xdr:col>
      <xdr:colOff>106952</xdr:colOff>
      <xdr:row>15</xdr:row>
      <xdr:rowOff>186689</xdr:rowOff>
    </xdr:to>
    <xdr:graphicFrame macro="">
      <xdr:nvGraphicFramePr>
        <xdr:cNvPr id="11" name="Диаграмма 10">
          <a:extLst>
            <a:ext uri="{FF2B5EF4-FFF2-40B4-BE49-F238E27FC236}">
              <a16:creationId xmlns:a16="http://schemas.microsoft.com/office/drawing/2014/main" xmlns="" id="{7B00634C-7A77-40E1-9DA4-53314F1E807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7</xdr:col>
      <xdr:colOff>598714</xdr:colOff>
      <xdr:row>21</xdr:row>
      <xdr:rowOff>53340</xdr:rowOff>
    </xdr:from>
    <xdr:to>
      <xdr:col>11</xdr:col>
      <xdr:colOff>281940</xdr:colOff>
      <xdr:row>32</xdr:row>
      <xdr:rowOff>15512</xdr:rowOff>
    </xdr:to>
    <xdr:graphicFrame macro="">
      <xdr:nvGraphicFramePr>
        <xdr:cNvPr id="12" name="Диаграмма 11">
          <a:extLst>
            <a:ext uri="{FF2B5EF4-FFF2-40B4-BE49-F238E27FC236}">
              <a16:creationId xmlns:a16="http://schemas.microsoft.com/office/drawing/2014/main" xmlns="" id="{E15D8008-6DA3-4587-AE33-E909EC3398B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2</xdr:col>
      <xdr:colOff>27214</xdr:colOff>
      <xdr:row>35</xdr:row>
      <xdr:rowOff>35923</xdr:rowOff>
    </xdr:from>
    <xdr:to>
      <xdr:col>4</xdr:col>
      <xdr:colOff>608511</xdr:colOff>
      <xdr:row>46</xdr:row>
      <xdr:rowOff>56333</xdr:rowOff>
    </xdr:to>
    <xdr:graphicFrame macro="">
      <xdr:nvGraphicFramePr>
        <xdr:cNvPr id="13" name="Диаграмма 12">
          <a:extLst>
            <a:ext uri="{FF2B5EF4-FFF2-40B4-BE49-F238E27FC236}">
              <a16:creationId xmlns:a16="http://schemas.microsoft.com/office/drawing/2014/main" xmlns="" id="{A2EF34DB-D94A-435A-BE90-8B3C8C6AF21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</xdr:col>
      <xdr:colOff>554082</xdr:colOff>
      <xdr:row>49</xdr:row>
      <xdr:rowOff>94162</xdr:rowOff>
    </xdr:from>
    <xdr:to>
      <xdr:col>5</xdr:col>
      <xdr:colOff>229143</xdr:colOff>
      <xdr:row>61</xdr:row>
      <xdr:rowOff>9798</xdr:rowOff>
    </xdr:to>
    <xdr:graphicFrame macro="">
      <xdr:nvGraphicFramePr>
        <xdr:cNvPr id="14" name="Диаграмма 13">
          <a:extLst>
            <a:ext uri="{FF2B5EF4-FFF2-40B4-BE49-F238E27FC236}">
              <a16:creationId xmlns:a16="http://schemas.microsoft.com/office/drawing/2014/main" xmlns="" id="{47CB7B3A-718E-4569-80C1-E5717D1120B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8</xdr:col>
      <xdr:colOff>0</xdr:colOff>
      <xdr:row>35</xdr:row>
      <xdr:rowOff>4900</xdr:rowOff>
    </xdr:from>
    <xdr:to>
      <xdr:col>11</xdr:col>
      <xdr:colOff>202202</xdr:colOff>
      <xdr:row>45</xdr:row>
      <xdr:rowOff>81643</xdr:rowOff>
    </xdr:to>
    <xdr:graphicFrame macro="">
      <xdr:nvGraphicFramePr>
        <xdr:cNvPr id="15" name="Диаграмма 14">
          <a:extLst>
            <a:ext uri="{FF2B5EF4-FFF2-40B4-BE49-F238E27FC236}">
              <a16:creationId xmlns:a16="http://schemas.microsoft.com/office/drawing/2014/main" xmlns="" id="{8517F235-BE19-4D6D-B07C-90D042F75CA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8</xdr:col>
      <xdr:colOff>27214</xdr:colOff>
      <xdr:row>49</xdr:row>
      <xdr:rowOff>90352</xdr:rowOff>
    </xdr:from>
    <xdr:to>
      <xdr:col>11</xdr:col>
      <xdr:colOff>322761</xdr:colOff>
      <xdr:row>60</xdr:row>
      <xdr:rowOff>85453</xdr:rowOff>
    </xdr:to>
    <xdr:graphicFrame macro="">
      <xdr:nvGraphicFramePr>
        <xdr:cNvPr id="16" name="Диаграмма 15">
          <a:extLst>
            <a:ext uri="{FF2B5EF4-FFF2-40B4-BE49-F238E27FC236}">
              <a16:creationId xmlns:a16="http://schemas.microsoft.com/office/drawing/2014/main" xmlns="" id="{4EF354AA-66B4-44FB-8A8D-BAFF7A478C6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95250</xdr:colOff>
      <xdr:row>3</xdr:row>
      <xdr:rowOff>11430</xdr:rowOff>
    </xdr:from>
    <xdr:to>
      <xdr:col>7</xdr:col>
      <xdr:colOff>2579370</xdr:colOff>
      <xdr:row>9</xdr:row>
      <xdr:rowOff>19050</xdr:rowOff>
    </xdr:to>
    <xdr:graphicFrame macro="">
      <xdr:nvGraphicFramePr>
        <xdr:cNvPr id="2" name="Диаграмма 1">
          <a:extLst>
            <a:ext uri="{FF2B5EF4-FFF2-40B4-BE49-F238E27FC236}">
              <a16:creationId xmlns:a16="http://schemas.microsoft.com/office/drawing/2014/main" xmlns="" id="{13A0A048-96F5-46CC-A731-7BCF52BC33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43815</xdr:colOff>
      <xdr:row>11</xdr:row>
      <xdr:rowOff>78105</xdr:rowOff>
    </xdr:from>
    <xdr:to>
      <xdr:col>11</xdr:col>
      <xdr:colOff>253365</xdr:colOff>
      <xdr:row>25</xdr:row>
      <xdr:rowOff>150495</xdr:rowOff>
    </xdr:to>
    <xdr:graphicFrame macro="">
      <xdr:nvGraphicFramePr>
        <xdr:cNvPr id="3" name="Диаграмма 2">
          <a:extLst>
            <a:ext uri="{FF2B5EF4-FFF2-40B4-BE49-F238E27FC236}">
              <a16:creationId xmlns:a16="http://schemas.microsoft.com/office/drawing/2014/main" xmlns="" id="{B2B4A390-272A-4975-8585-07F46100526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62865</xdr:colOff>
      <xdr:row>26</xdr:row>
      <xdr:rowOff>95250</xdr:rowOff>
    </xdr:from>
    <xdr:to>
      <xdr:col>10</xdr:col>
      <xdr:colOff>253365</xdr:colOff>
      <xdr:row>41</xdr:row>
      <xdr:rowOff>9525</xdr:rowOff>
    </xdr:to>
    <xdr:graphicFrame macro="">
      <xdr:nvGraphicFramePr>
        <xdr:cNvPr id="4" name="Диаграмма 3">
          <a:extLst>
            <a:ext uri="{FF2B5EF4-FFF2-40B4-BE49-F238E27FC236}">
              <a16:creationId xmlns:a16="http://schemas.microsoft.com/office/drawing/2014/main" xmlns="" id="{757539AE-0B21-43FA-BE91-4F2F5B81137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74295</xdr:colOff>
      <xdr:row>41</xdr:row>
      <xdr:rowOff>148590</xdr:rowOff>
    </xdr:from>
    <xdr:to>
      <xdr:col>9</xdr:col>
      <xdr:colOff>577215</xdr:colOff>
      <xdr:row>56</xdr:row>
      <xdr:rowOff>123825</xdr:rowOff>
    </xdr:to>
    <xdr:graphicFrame macro="">
      <xdr:nvGraphicFramePr>
        <xdr:cNvPr id="5" name="Диаграмма 4">
          <a:extLst>
            <a:ext uri="{FF2B5EF4-FFF2-40B4-BE49-F238E27FC236}">
              <a16:creationId xmlns:a16="http://schemas.microsoft.com/office/drawing/2014/main" xmlns="" id="{6687E3B8-8521-4800-BE00-99ECC65E317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oneCellAnchor>
    <xdr:from>
      <xdr:col>12</xdr:col>
      <xdr:colOff>501015</xdr:colOff>
      <xdr:row>1</xdr:row>
      <xdr:rowOff>169545</xdr:rowOff>
    </xdr:from>
    <xdr:ext cx="5532120" cy="3675747"/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2B36665B-628F-4C00-A1A3-E445443BA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0768965" y="321945"/>
          <a:ext cx="5532120" cy="3675747"/>
        </a:xfrm>
        <a:prstGeom prst="rect">
          <a:avLst/>
        </a:prstGeom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85725</xdr:colOff>
      <xdr:row>3</xdr:row>
      <xdr:rowOff>0</xdr:rowOff>
    </xdr:from>
    <xdr:to>
      <xdr:col>12</xdr:col>
      <xdr:colOff>390525</xdr:colOff>
      <xdr:row>9</xdr:row>
      <xdr:rowOff>0</xdr:rowOff>
    </xdr:to>
    <xdr:graphicFrame macro="">
      <xdr:nvGraphicFramePr>
        <xdr:cNvPr id="4" name="Диаграмма 3">
          <a:extLst>
            <a:ext uri="{FF2B5EF4-FFF2-40B4-BE49-F238E27FC236}">
              <a16:creationId xmlns:a16="http://schemas.microsoft.com/office/drawing/2014/main" xmlns="" id="{13BB9D3E-898E-4FE9-94FF-11F084F4658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oneCellAnchor>
    <xdr:from>
      <xdr:col>2</xdr:col>
      <xdr:colOff>0</xdr:colOff>
      <xdr:row>10</xdr:row>
      <xdr:rowOff>47625</xdr:rowOff>
    </xdr:from>
    <xdr:ext cx="6276497" cy="4105275"/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BF4239CD-BCDD-4297-B2FB-80D236A24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96DAC541-7B7A-43D3-8B79-37D633B846F1}">
              <asvg:svgBlip xmlns:asvg="http://schemas.microsoft.com/office/drawing/2016/SVG/main" xmlns="" r:embed="rId3"/>
            </a:ext>
          </a:extLst>
        </a:blip>
        <a:stretch>
          <a:fillRect/>
        </a:stretch>
      </xdr:blipFill>
      <xdr:spPr>
        <a:xfrm>
          <a:off x="1219200" y="3009900"/>
          <a:ext cx="6276497" cy="4105275"/>
        </a:xfrm>
        <a:prstGeom prst="rect">
          <a:avLst/>
        </a:prstGeom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277041</xdr:colOff>
      <xdr:row>2</xdr:row>
      <xdr:rowOff>10886</xdr:rowOff>
    </xdr:from>
    <xdr:to>
      <xdr:col>11</xdr:col>
      <xdr:colOff>380455</xdr:colOff>
      <xdr:row>10</xdr:row>
      <xdr:rowOff>117566</xdr:rowOff>
    </xdr:to>
    <xdr:graphicFrame macro="">
      <xdr:nvGraphicFramePr>
        <xdr:cNvPr id="2" name="Диаграмма 1">
          <a:extLst>
            <a:ext uri="{FF2B5EF4-FFF2-40B4-BE49-F238E27FC236}">
              <a16:creationId xmlns="" xmlns:a16="http://schemas.microsoft.com/office/drawing/2014/main" id="{97348051-8CB9-4BED-A58D-C8F140540D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oneCellAnchor>
    <xdr:from>
      <xdr:col>21</xdr:col>
      <xdr:colOff>1158785</xdr:colOff>
      <xdr:row>0</xdr:row>
      <xdr:rowOff>0</xdr:rowOff>
    </xdr:from>
    <xdr:ext cx="6076678" cy="3894823"/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39B5D26D-40F7-42AC-9073-FBC3C429A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96DAC541-7B7A-43D3-8B79-37D633B846F1}">
              <asvg:svgBlip xmlns=""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13407935" y="0"/>
          <a:ext cx="6076678" cy="3894823"/>
        </a:xfrm>
        <a:prstGeom prst="rect">
          <a:avLst/>
        </a:prstGeom>
      </xdr:spPr>
    </xdr:pic>
    <xdr:clientData/>
  </xdr:oneCellAnchor>
  <xdr:twoCellAnchor>
    <xdr:from>
      <xdr:col>5</xdr:col>
      <xdr:colOff>269966</xdr:colOff>
      <xdr:row>13</xdr:row>
      <xdr:rowOff>174716</xdr:rowOff>
    </xdr:from>
    <xdr:to>
      <xdr:col>12</xdr:col>
      <xdr:colOff>327116</xdr:colOff>
      <xdr:row>27</xdr:row>
      <xdr:rowOff>9798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63FA7A25-D354-4556-AF28-B723B2FDD94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12</xdr:col>
      <xdr:colOff>686344</xdr:colOff>
      <xdr:row>15</xdr:row>
      <xdr:rowOff>170362</xdr:rowOff>
    </xdr:from>
    <xdr:to>
      <xdr:col>17</xdr:col>
      <xdr:colOff>97971</xdr:colOff>
      <xdr:row>19</xdr:row>
      <xdr:rowOff>152607</xdr:rowOff>
    </xdr:to>
    <xdr:sp macro="" textlink="">
      <xdr:nvSpPr>
        <xdr:cNvPr id="5" name="Прямоугольник 4">
          <a:extLst>
            <a:ext uri="{FF2B5EF4-FFF2-40B4-BE49-F238E27FC236}">
              <a16:creationId xmlns="" xmlns:a16="http://schemas.microsoft.com/office/drawing/2014/main" id="{C60F8FBD-0674-4823-825A-38AC8F7FC599}"/>
            </a:ext>
          </a:extLst>
        </xdr:cNvPr>
        <xdr:cNvSpPr/>
      </xdr:nvSpPr>
      <xdr:spPr>
        <a:xfrm>
          <a:off x="7925344" y="3027862"/>
          <a:ext cx="2535827" cy="744245"/>
        </a:xfrm>
        <a:prstGeom prst="rect">
          <a:avLst/>
        </a:prstGeom>
      </xdr:spPr>
      <xdr:txBody>
        <a:bodyPr wrap="square" lIns="164194" tIns="82112" rIns="164194" bIns="82112">
          <a:spAutoFit/>
        </a:bodyPr>
        <a:lstStyle>
          <a:defPPr lvl="0">
            <a:defRPr lang="ru-RU"/>
          </a:defPPr>
          <a:lvl1pPr marL="0" lvl="1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689629" lvl="2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379282" lvl="3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2068907" lvl="4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758550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3448187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4137825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4827462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5517109" algn="l" defTabSz="1379282" rtl="0" eaLnBrk="1" latinLnBrk="0" hangingPunct="1">
            <a:defRPr sz="27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ru-RU" sz="1600">
              <a:solidFill>
                <a:srgbClr val="002060"/>
              </a:solidFill>
            </a:rPr>
            <a:t>ОСУЩЕСТВЛЕНА ДОСТАВКА </a:t>
          </a:r>
          <a:r>
            <a:rPr lang="ru-RU" sz="1600" b="1">
              <a:solidFill>
                <a:srgbClr val="E6AF00"/>
              </a:solidFill>
            </a:rPr>
            <a:t>Х тонн</a:t>
          </a:r>
        </a:p>
        <a:p>
          <a:r>
            <a:rPr lang="ru-RU" sz="1600" b="1">
              <a:solidFill>
                <a:srgbClr val="C0504D"/>
              </a:solidFill>
            </a:rPr>
            <a:t>      </a:t>
          </a:r>
          <a:r>
            <a:rPr lang="ru-RU" sz="1600" b="1">
              <a:solidFill>
                <a:schemeClr val="accent4">
                  <a:lumMod val="75000"/>
                </a:schemeClr>
              </a:solidFill>
            </a:rPr>
            <a:t>(АППГ </a:t>
          </a:r>
          <a:r>
            <a:rPr lang="ru-RU" sz="1600" b="1">
              <a:solidFill>
                <a:schemeClr val="accent4">
                  <a:lumMod val="75000"/>
                </a:schemeClr>
              </a:solidFill>
              <a:latin typeface="Tahoma" pitchFamily="34" charset="0"/>
              <a:ea typeface="Tahoma" pitchFamily="34" charset="0"/>
              <a:cs typeface="Tahoma" pitchFamily="34" charset="0"/>
            </a:rPr>
            <a:t>112 321,9 тонн)</a:t>
          </a:r>
          <a:br>
            <a:rPr lang="ru-RU" sz="1600" b="1">
              <a:solidFill>
                <a:schemeClr val="accent4">
                  <a:lumMod val="75000"/>
                </a:schemeClr>
              </a:solidFill>
              <a:latin typeface="Tahoma" pitchFamily="34" charset="0"/>
              <a:ea typeface="Tahoma" pitchFamily="34" charset="0"/>
              <a:cs typeface="Tahoma" pitchFamily="34" charset="0"/>
            </a:rPr>
          </a:br>
          <a:r>
            <a:rPr lang="ru-RU" sz="1600">
              <a:solidFill>
                <a:srgbClr val="002060"/>
              </a:solidFill>
            </a:rPr>
            <a:t>грузов гуманитарной помощи </a:t>
          </a:r>
        </a:p>
      </xdr:txBody>
    </xdr:sp>
    <xdr:clientData/>
  </xdr:twoCellAnchor>
  <xdr:oneCellAnchor>
    <xdr:from>
      <xdr:col>21</xdr:col>
      <xdr:colOff>1178922</xdr:colOff>
      <xdr:row>17</xdr:row>
      <xdr:rowOff>118925</xdr:rowOff>
    </xdr:from>
    <xdr:ext cx="5999933" cy="3497927"/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8F6A84E-5EEA-49CC-884E-5270E0249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96DAC541-7B7A-43D3-8B79-37D633B846F1}">
              <asvg:svgBlip xmlns=""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13409022" y="3357425"/>
          <a:ext cx="5999933" cy="3497927"/>
        </a:xfrm>
        <a:prstGeom prst="rect">
          <a:avLst/>
        </a:prstGeom>
      </xdr:spPr>
    </xdr:pic>
    <xdr:clientData/>
  </xdr:oneCellAnchor>
  <xdr:oneCellAnchor>
    <xdr:from>
      <xdr:col>2</xdr:col>
      <xdr:colOff>2138892</xdr:colOff>
      <xdr:row>34</xdr:row>
      <xdr:rowOff>9525</xdr:rowOff>
    </xdr:from>
    <xdr:ext cx="192167" cy="175369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7" name="TextBox 6">
              <a:extLst>
                <a:ext uri="{FF2B5EF4-FFF2-40B4-BE49-F238E27FC236}">
                  <a16:creationId xmlns="" xmlns:a16="http://schemas.microsoft.com/office/drawing/2014/main" id="{A7CB2740-DAC1-4E46-9B20-49465D803E73}"/>
                </a:ext>
              </a:extLst>
            </xdr:cNvPr>
            <xdr:cNvSpPr txBox="1"/>
          </xdr:nvSpPr>
          <xdr:spPr>
            <a:xfrm>
              <a:off x="1824567" y="6486525"/>
              <a:ext cx="192167" cy="17536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p>
                      <m:sSupPr>
                        <m:ctrlPr>
                          <a:rPr lang="ru-RU" sz="1100" i="1">
                            <a:latin typeface="Cambria Math" panose="02040503050406030204" pitchFamily="18" charset="0"/>
                          </a:rPr>
                        </m:ctrlPr>
                      </m:sSupPr>
                      <m:e>
                        <m:r>
                          <a:rPr lang="ru-RU" sz="1100" b="0" i="1">
                            <a:latin typeface="Cambria Math" panose="02040503050406030204" pitchFamily="18" charset="0"/>
                          </a:rPr>
                          <m:t>м</m:t>
                        </m:r>
                      </m:e>
                      <m:sup>
                        <m:r>
                          <a:rPr lang="ru-RU" sz="1100" b="0" i="1">
                            <a:latin typeface="Cambria Math" panose="02040503050406030204" pitchFamily="18" charset="0"/>
                          </a:rPr>
                          <m:t>2</m:t>
                        </m:r>
                      </m:sup>
                    </m:sSup>
                  </m:oMath>
                </m:oMathPara>
              </a14:m>
              <a:endParaRPr lang="ru-RU" sz="1100"/>
            </a:p>
          </xdr:txBody>
        </xdr:sp>
      </mc:Choice>
      <mc:Fallback xmlns="">
        <xdr:sp macro="" textlink="">
          <xdr:nvSpPr>
            <xdr:cNvPr id="7" name="TextBox 6">
              <a:extLst>
                <a:ext uri="{FF2B5EF4-FFF2-40B4-BE49-F238E27FC236}">
                  <a16:creationId xmlns="" xmlns:a16="http://schemas.microsoft.com/office/drawing/2014/main" xmlns:a14="http://schemas.microsoft.com/office/drawing/2010/main" id="{A7CB2740-DAC1-4E46-9B20-49465D803E73}"/>
                </a:ext>
              </a:extLst>
            </xdr:cNvPr>
            <xdr:cNvSpPr txBox="1"/>
          </xdr:nvSpPr>
          <xdr:spPr>
            <a:xfrm>
              <a:off x="1824567" y="6486525"/>
              <a:ext cx="192167" cy="17536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ru-RU" sz="1100" b="0" i="0">
                  <a:latin typeface="Cambria Math" panose="02040503050406030204" pitchFamily="18" charset="0"/>
                </a:rPr>
                <a:t>м</a:t>
              </a:r>
              <a:r>
                <a:rPr lang="ru-RU" sz="1100" b="0" i="0">
                  <a:latin typeface="Cambria Math"/>
                </a:rPr>
                <a:t>^</a:t>
              </a:r>
              <a:r>
                <a:rPr lang="ru-RU" sz="1100" b="0" i="0">
                  <a:latin typeface="Cambria Math" panose="02040503050406030204" pitchFamily="18" charset="0"/>
                </a:rPr>
                <a:t>2</a:t>
              </a:r>
              <a:endParaRPr lang="ru-RU" sz="1100"/>
            </a:p>
          </xdr:txBody>
        </xdr:sp>
      </mc:Fallback>
    </mc:AlternateContent>
    <xdr:clientData/>
  </xdr:oneCellAnchor>
  <xdr:oneCellAnchor>
    <xdr:from>
      <xdr:col>2</xdr:col>
      <xdr:colOff>2142067</xdr:colOff>
      <xdr:row>35</xdr:row>
      <xdr:rowOff>19050</xdr:rowOff>
    </xdr:from>
    <xdr:ext cx="192167" cy="175369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8" name="TextBox 7">
              <a:extLst>
                <a:ext uri="{FF2B5EF4-FFF2-40B4-BE49-F238E27FC236}">
                  <a16:creationId xmlns="" xmlns:a16="http://schemas.microsoft.com/office/drawing/2014/main" id="{58E28694-271E-40DA-BD79-A07489499568}"/>
                </a:ext>
              </a:extLst>
            </xdr:cNvPr>
            <xdr:cNvSpPr txBox="1"/>
          </xdr:nvSpPr>
          <xdr:spPr>
            <a:xfrm>
              <a:off x="1827742" y="6686550"/>
              <a:ext cx="192167" cy="17536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sSup>
                      <m:sSupPr>
                        <m:ctrlPr>
                          <a:rPr lang="ru-RU" sz="1100" i="1">
                            <a:latin typeface="Cambria Math" panose="02040503050406030204" pitchFamily="18" charset="0"/>
                          </a:rPr>
                        </m:ctrlPr>
                      </m:sSupPr>
                      <m:e>
                        <m:r>
                          <a:rPr lang="ru-RU" sz="1100" b="0" i="1">
                            <a:latin typeface="Cambria Math" panose="02040503050406030204" pitchFamily="18" charset="0"/>
                          </a:rPr>
                          <m:t>м</m:t>
                        </m:r>
                      </m:e>
                      <m:sup>
                        <m:r>
                          <a:rPr lang="ru-RU" sz="1100" b="0" i="1">
                            <a:latin typeface="Cambria Math" panose="02040503050406030204" pitchFamily="18" charset="0"/>
                          </a:rPr>
                          <m:t>3</m:t>
                        </m:r>
                      </m:sup>
                    </m:sSup>
                  </m:oMath>
                </m:oMathPara>
              </a14:m>
              <a:endParaRPr lang="ru-RU" sz="1100"/>
            </a:p>
          </xdr:txBody>
        </xdr:sp>
      </mc:Choice>
      <mc:Fallback xmlns="">
        <xdr:sp macro="" textlink="">
          <xdr:nvSpPr>
            <xdr:cNvPr id="8" name="TextBox 7">
              <a:extLst>
                <a:ext uri="{FF2B5EF4-FFF2-40B4-BE49-F238E27FC236}">
                  <a16:creationId xmlns="" xmlns:a16="http://schemas.microsoft.com/office/drawing/2014/main" xmlns:a14="http://schemas.microsoft.com/office/drawing/2010/main" id="{58E28694-271E-40DA-BD79-A07489499568}"/>
                </a:ext>
              </a:extLst>
            </xdr:cNvPr>
            <xdr:cNvSpPr txBox="1"/>
          </xdr:nvSpPr>
          <xdr:spPr>
            <a:xfrm>
              <a:off x="1827742" y="6686550"/>
              <a:ext cx="192167" cy="17536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spAutoFit/>
            </a:bodyPr>
            <a:lstStyle/>
            <a:p>
              <a:pPr/>
              <a:r>
                <a:rPr lang="ru-RU" sz="1100" b="0" i="0">
                  <a:latin typeface="Cambria Math" panose="02040503050406030204" pitchFamily="18" charset="0"/>
                </a:rPr>
                <a:t>м</a:t>
              </a:r>
              <a:r>
                <a:rPr lang="ru-RU" sz="1100" b="0" i="0">
                  <a:latin typeface="Cambria Math"/>
                </a:rPr>
                <a:t>^</a:t>
              </a:r>
              <a:r>
                <a:rPr lang="ru-RU" sz="1100" b="0" i="0">
                  <a:latin typeface="Cambria Math" panose="02040503050406030204" pitchFamily="18" charset="0"/>
                </a:rPr>
                <a:t>3</a:t>
              </a:r>
              <a:endParaRPr lang="ru-RU" sz="1100"/>
            </a:p>
          </xdr:txBody>
        </xdr:sp>
      </mc:Fallback>
    </mc:AlternateContent>
    <xdr:clientData/>
  </xdr:oneCellAnchor>
  <xdr:oneCellAnchor>
    <xdr:from>
      <xdr:col>21</xdr:col>
      <xdr:colOff>1187389</xdr:colOff>
      <xdr:row>33</xdr:row>
      <xdr:rowOff>177162</xdr:rowOff>
    </xdr:from>
    <xdr:ext cx="6121346" cy="3879532"/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66C352E8-E891-4D68-9B42-30CCB97ED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96DAC541-7B7A-43D3-8B79-37D633B846F1}">
              <asvg:svgBlip xmlns="" xmlns:asvg="http://schemas.microsoft.com/office/drawing/2016/SVG/main" r:embed="rId8"/>
            </a:ext>
          </a:extLst>
        </a:blip>
        <a:stretch>
          <a:fillRect/>
        </a:stretch>
      </xdr:blipFill>
      <xdr:spPr>
        <a:xfrm>
          <a:off x="13407964" y="6463662"/>
          <a:ext cx="6121346" cy="3879532"/>
        </a:xfrm>
        <a:prstGeom prst="rect">
          <a:avLst/>
        </a:prstGeom>
      </xdr:spPr>
    </xdr:pic>
    <xdr:clientData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304800</xdr:colOff>
      <xdr:row>2</xdr:row>
      <xdr:rowOff>66675</xdr:rowOff>
    </xdr:from>
    <xdr:to>
      <xdr:col>10</xdr:col>
      <xdr:colOff>38100</xdr:colOff>
      <xdr:row>10</xdr:row>
      <xdr:rowOff>133350</xdr:rowOff>
    </xdr:to>
    <xdr:graphicFrame macro="">
      <xdr:nvGraphicFramePr>
        <xdr:cNvPr id="2" name="Диаграмма 1">
          <a:extLst>
            <a:ext uri="{FF2B5EF4-FFF2-40B4-BE49-F238E27FC236}">
              <a16:creationId xmlns="" xmlns:a16="http://schemas.microsoft.com/office/drawing/2014/main" id="{768019C1-EE02-4CEE-84F4-F3249F39A2B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49106</xdr:colOff>
      <xdr:row>1</xdr:row>
      <xdr:rowOff>149435</xdr:rowOff>
    </xdr:from>
    <xdr:to>
      <xdr:col>18</xdr:col>
      <xdr:colOff>1673436</xdr:colOff>
      <xdr:row>12</xdr:row>
      <xdr:rowOff>63076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0832F75C-A6B3-4BE0-9609-619AA8E0AE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10</xdr:col>
      <xdr:colOff>222250</xdr:colOff>
      <xdr:row>2</xdr:row>
      <xdr:rowOff>85513</xdr:rowOff>
    </xdr:from>
    <xdr:to>
      <xdr:col>14</xdr:col>
      <xdr:colOff>375073</xdr:colOff>
      <xdr:row>11</xdr:row>
      <xdr:rowOff>29633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A19692A6-F890-4089-8AD1-FBDC38F6C8F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4</xdr:col>
      <xdr:colOff>202990</xdr:colOff>
      <xdr:row>13</xdr:row>
      <xdr:rowOff>42757</xdr:rowOff>
    </xdr:from>
    <xdr:to>
      <xdr:col>9</xdr:col>
      <xdr:colOff>480061</xdr:colOff>
      <xdr:row>22</xdr:row>
      <xdr:rowOff>157904</xdr:rowOff>
    </xdr:to>
    <xdr:graphicFrame macro="">
      <xdr:nvGraphicFramePr>
        <xdr:cNvPr id="5" name="Диаграмма 4">
          <a:extLst>
            <a:ext uri="{FF2B5EF4-FFF2-40B4-BE49-F238E27FC236}">
              <a16:creationId xmlns="" xmlns:a16="http://schemas.microsoft.com/office/drawing/2014/main" id="{63E3CD19-B33E-48A4-9DDD-520D747965D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4</xdr:col>
      <xdr:colOff>232834</xdr:colOff>
      <xdr:row>24</xdr:row>
      <xdr:rowOff>188384</xdr:rowOff>
    </xdr:from>
    <xdr:to>
      <xdr:col>11</xdr:col>
      <xdr:colOff>317499</xdr:colOff>
      <xdr:row>39</xdr:row>
      <xdr:rowOff>84667</xdr:rowOff>
    </xdr:to>
    <xdr:graphicFrame macro="">
      <xdr:nvGraphicFramePr>
        <xdr:cNvPr id="6" name="Диаграмма 5">
          <a:extLst>
            <a:ext uri="{FF2B5EF4-FFF2-40B4-BE49-F238E27FC236}">
              <a16:creationId xmlns="" xmlns:a16="http://schemas.microsoft.com/office/drawing/2014/main" id="{58B3DA52-629C-496D-870E-4AFB022BA52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oneCellAnchor>
    <xdr:from>
      <xdr:col>12</xdr:col>
      <xdr:colOff>1264021</xdr:colOff>
      <xdr:row>16</xdr:row>
      <xdr:rowOff>157057</xdr:rowOff>
    </xdr:from>
    <xdr:ext cx="5450945" cy="3824181"/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B8C1C4EF-5F84-4046-8097-DFE3D011F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96DAC541-7B7A-43D3-8B79-37D633B846F1}">
              <asvg:svgBlip xmlns="" xmlns:asvg="http://schemas.microsoft.com/office/drawing/2016/SVG/main" r:embed="rId7"/>
            </a:ext>
          </a:extLst>
        </a:blip>
        <a:stretch>
          <a:fillRect/>
        </a:stretch>
      </xdr:blipFill>
      <xdr:spPr>
        <a:xfrm>
          <a:off x="7921996" y="3205057"/>
          <a:ext cx="5450945" cy="3824181"/>
        </a:xfrm>
        <a:prstGeom prst="rect">
          <a:avLst/>
        </a:prstGeom>
      </xdr:spPr>
    </xdr:pic>
    <xdr:clientData/>
  </xdr:oneCellAnchor>
  <xdr:twoCellAnchor>
    <xdr:from>
      <xdr:col>4</xdr:col>
      <xdr:colOff>243417</xdr:colOff>
      <xdr:row>41</xdr:row>
      <xdr:rowOff>71968</xdr:rowOff>
    </xdr:from>
    <xdr:to>
      <xdr:col>11</xdr:col>
      <xdr:colOff>328082</xdr:colOff>
      <xdr:row>54</xdr:row>
      <xdr:rowOff>158751</xdr:rowOff>
    </xdr:to>
    <xdr:graphicFrame macro="">
      <xdr:nvGraphicFramePr>
        <xdr:cNvPr id="8" name="Диаграмма 7">
          <a:extLst>
            <a:ext uri="{FF2B5EF4-FFF2-40B4-BE49-F238E27FC236}">
              <a16:creationId xmlns="" xmlns:a16="http://schemas.microsoft.com/office/drawing/2014/main" id="{58B3DA52-629C-496D-870E-4AFB022BA52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367938</xdr:colOff>
      <xdr:row>0</xdr:row>
      <xdr:rowOff>76200</xdr:rowOff>
    </xdr:from>
    <xdr:to>
      <xdr:col>11</xdr:col>
      <xdr:colOff>261802</xdr:colOff>
      <xdr:row>10</xdr:row>
      <xdr:rowOff>136071</xdr:rowOff>
    </xdr:to>
    <xdr:graphicFrame macro="">
      <xdr:nvGraphicFramePr>
        <xdr:cNvPr id="2" name="Диаграмма 1">
          <a:extLst>
            <a:ext uri="{FF2B5EF4-FFF2-40B4-BE49-F238E27FC236}">
              <a16:creationId xmlns="" xmlns:a16="http://schemas.microsoft.com/office/drawing/2014/main" id="{7CEB70D8-0F05-42C2-AEE0-C016CC4DAF9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</xdr:col>
      <xdr:colOff>221525</xdr:colOff>
      <xdr:row>14</xdr:row>
      <xdr:rowOff>29665</xdr:rowOff>
    </xdr:from>
    <xdr:to>
      <xdr:col>20</xdr:col>
      <xdr:colOff>179614</xdr:colOff>
      <xdr:row>23</xdr:row>
      <xdr:rowOff>-1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EFC2A50F-20E7-4CD0-BD97-C4316C8ABD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337456</xdr:colOff>
      <xdr:row>29</xdr:row>
      <xdr:rowOff>187234</xdr:rowOff>
    </xdr:from>
    <xdr:to>
      <xdr:col>11</xdr:col>
      <xdr:colOff>516526</xdr:colOff>
      <xdr:row>39</xdr:row>
      <xdr:rowOff>27213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C8F00661-9E5A-4B23-A96C-0745364BBE9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oneCellAnchor>
    <xdr:from>
      <xdr:col>21</xdr:col>
      <xdr:colOff>1906</xdr:colOff>
      <xdr:row>4</xdr:row>
      <xdr:rowOff>118656</xdr:rowOff>
    </xdr:from>
    <xdr:ext cx="5614646" cy="3864116"/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6CA87B40-A58F-48E8-8087-B7E3D5545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96DAC541-7B7A-43D3-8B79-37D633B846F1}">
              <asvg:svgBlip xmlns="" xmlns:asvg="http://schemas.microsoft.com/office/drawing/2016/SVG/main" r:embed="rId5"/>
            </a:ext>
          </a:extLst>
        </a:blip>
        <a:stretch>
          <a:fillRect/>
        </a:stretch>
      </xdr:blipFill>
      <xdr:spPr>
        <a:xfrm>
          <a:off x="12803506" y="880656"/>
          <a:ext cx="5614646" cy="3864116"/>
        </a:xfrm>
        <a:prstGeom prst="rect">
          <a:avLst/>
        </a:prstGeom>
      </xdr:spPr>
    </xdr:pic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31750</xdr:colOff>
      <xdr:row>20</xdr:row>
      <xdr:rowOff>152400</xdr:rowOff>
    </xdr:from>
    <xdr:to>
      <xdr:col>6</xdr:col>
      <xdr:colOff>190501</xdr:colOff>
      <xdr:row>33</xdr:row>
      <xdr:rowOff>180975</xdr:rowOff>
    </xdr:to>
    <xdr:graphicFrame macro="">
      <xdr:nvGraphicFramePr>
        <xdr:cNvPr id="2" name="Диаграмма 1">
          <a:extLst>
            <a:ext uri="{FF2B5EF4-FFF2-40B4-BE49-F238E27FC236}">
              <a16:creationId xmlns="" xmlns:a16="http://schemas.microsoft.com/office/drawing/2014/main" id="{D7AB489B-2460-4AF4-8305-F1FA4AAF614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200024</xdr:colOff>
      <xdr:row>20</xdr:row>
      <xdr:rowOff>161925</xdr:rowOff>
    </xdr:from>
    <xdr:to>
      <xdr:col>14</xdr:col>
      <xdr:colOff>266699</xdr:colOff>
      <xdr:row>33</xdr:row>
      <xdr:rowOff>190499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31BD33F7-8B7B-49F7-94DB-D686D3F83E5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266700</xdr:colOff>
      <xdr:row>20</xdr:row>
      <xdr:rowOff>161924</xdr:rowOff>
    </xdr:from>
    <xdr:to>
      <xdr:col>22</xdr:col>
      <xdr:colOff>323850</xdr:colOff>
      <xdr:row>33</xdr:row>
      <xdr:rowOff>200024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D000FA83-7C36-48C9-B56B-5797CA2F523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22</xdr:col>
      <xdr:colOff>323849</xdr:colOff>
      <xdr:row>20</xdr:row>
      <xdr:rowOff>152399</xdr:rowOff>
    </xdr:from>
    <xdr:to>
      <xdr:col>30</xdr:col>
      <xdr:colOff>390524</xdr:colOff>
      <xdr:row>33</xdr:row>
      <xdr:rowOff>190499</xdr:rowOff>
    </xdr:to>
    <xdr:graphicFrame macro="">
      <xdr:nvGraphicFramePr>
        <xdr:cNvPr id="5" name="Диаграмма 4">
          <a:extLst>
            <a:ext uri="{FF2B5EF4-FFF2-40B4-BE49-F238E27FC236}">
              <a16:creationId xmlns="" xmlns:a16="http://schemas.microsoft.com/office/drawing/2014/main" id="{549A4A2D-764C-41F6-B053-696A7A3E25C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11206</xdr:colOff>
      <xdr:row>1</xdr:row>
      <xdr:rowOff>67237</xdr:rowOff>
    </xdr:from>
    <xdr:to>
      <xdr:col>9</xdr:col>
      <xdr:colOff>56030</xdr:colOff>
      <xdr:row>12</xdr:row>
      <xdr:rowOff>112061</xdr:rowOff>
    </xdr:to>
    <xdr:graphicFrame macro="">
      <xdr:nvGraphicFramePr>
        <xdr:cNvPr id="2" name="Диаграмма 1">
          <a:extLst>
            <a:ext uri="{FF2B5EF4-FFF2-40B4-BE49-F238E27FC236}">
              <a16:creationId xmlns="" xmlns:a16="http://schemas.microsoft.com/office/drawing/2014/main" id="{E4CA181F-964F-4020-8BAC-219624B0C13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41321</xdr:colOff>
      <xdr:row>14</xdr:row>
      <xdr:rowOff>23112</xdr:rowOff>
    </xdr:from>
    <xdr:to>
      <xdr:col>9</xdr:col>
      <xdr:colOff>95249</xdr:colOff>
      <xdr:row>25</xdr:row>
      <xdr:rowOff>67936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45655898-B670-4D52-A823-AFA79170C71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10</xdr:col>
      <xdr:colOff>-1</xdr:colOff>
      <xdr:row>1</xdr:row>
      <xdr:rowOff>74239</xdr:rowOff>
    </xdr:from>
    <xdr:to>
      <xdr:col>18</xdr:col>
      <xdr:colOff>11205</xdr:colOff>
      <xdr:row>12</xdr:row>
      <xdr:rowOff>130969</xdr:rowOff>
    </xdr:to>
    <xdr:graphicFrame macro="">
      <xdr:nvGraphicFramePr>
        <xdr:cNvPr id="4" name="Диаграмма 3">
          <a:extLst>
            <a:ext uri="{FF2B5EF4-FFF2-40B4-BE49-F238E27FC236}">
              <a16:creationId xmlns="" xmlns:a16="http://schemas.microsoft.com/office/drawing/2014/main" id="{A6A442C5-5786-40CE-86F9-FE9C73A21C1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9</xdr:col>
      <xdr:colOff>1161210</xdr:colOff>
      <xdr:row>13</xdr:row>
      <xdr:rowOff>26614</xdr:rowOff>
    </xdr:from>
    <xdr:to>
      <xdr:col>19</xdr:col>
      <xdr:colOff>565198</xdr:colOff>
      <xdr:row>25</xdr:row>
      <xdr:rowOff>303960</xdr:rowOff>
    </xdr:to>
    <xdr:graphicFrame macro="">
      <xdr:nvGraphicFramePr>
        <xdr:cNvPr id="5" name="Диаграмма 4">
          <a:extLst>
            <a:ext uri="{FF2B5EF4-FFF2-40B4-BE49-F238E27FC236}">
              <a16:creationId xmlns="" xmlns:a16="http://schemas.microsoft.com/office/drawing/2014/main" id="{C7F7F224-D5AB-4CE5-98B5-94FBEB5474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8404</xdr:colOff>
      <xdr:row>28</xdr:row>
      <xdr:rowOff>700</xdr:rowOff>
    </xdr:from>
    <xdr:to>
      <xdr:col>9</xdr:col>
      <xdr:colOff>62332</xdr:colOff>
      <xdr:row>39</xdr:row>
      <xdr:rowOff>135171</xdr:rowOff>
    </xdr:to>
    <xdr:graphicFrame macro="">
      <xdr:nvGraphicFramePr>
        <xdr:cNvPr id="6" name="Диаграмма 5">
          <a:extLst>
            <a:ext uri="{FF2B5EF4-FFF2-40B4-BE49-F238E27FC236}">
              <a16:creationId xmlns="" xmlns:a16="http://schemas.microsoft.com/office/drawing/2014/main" id="{7051EE96-2D9B-4E27-B93B-4F31E9DCE85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9</xdr:col>
      <xdr:colOff>1159108</xdr:colOff>
      <xdr:row>28</xdr:row>
      <xdr:rowOff>21713</xdr:rowOff>
    </xdr:from>
    <xdr:to>
      <xdr:col>17</xdr:col>
      <xdr:colOff>598814</xdr:colOff>
      <xdr:row>40</xdr:row>
      <xdr:rowOff>77743</xdr:rowOff>
    </xdr:to>
    <xdr:graphicFrame macro="">
      <xdr:nvGraphicFramePr>
        <xdr:cNvPr id="7" name="Диаграмма 6">
          <a:extLst>
            <a:ext uri="{FF2B5EF4-FFF2-40B4-BE49-F238E27FC236}">
              <a16:creationId xmlns="" xmlns:a16="http://schemas.microsoft.com/office/drawing/2014/main" id="{9BFC193D-6F6A-4B17-A4B8-13AF2B224CE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39221</xdr:colOff>
      <xdr:row>41</xdr:row>
      <xdr:rowOff>119062</xdr:rowOff>
    </xdr:from>
    <xdr:to>
      <xdr:col>9</xdr:col>
      <xdr:colOff>93149</xdr:colOff>
      <xdr:row>53</xdr:row>
      <xdr:rowOff>85445</xdr:rowOff>
    </xdr:to>
    <xdr:graphicFrame macro="">
      <xdr:nvGraphicFramePr>
        <xdr:cNvPr id="8" name="Диаграмма 7">
          <a:extLst>
            <a:ext uri="{FF2B5EF4-FFF2-40B4-BE49-F238E27FC236}">
              <a16:creationId xmlns="" xmlns:a16="http://schemas.microsoft.com/office/drawing/2014/main" id="{FD987BC0-15A6-433A-919C-64B4334FEDE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9</xdr:col>
      <xdr:colOff>1105880</xdr:colOff>
      <xdr:row>41</xdr:row>
      <xdr:rowOff>22411</xdr:rowOff>
    </xdr:from>
    <xdr:to>
      <xdr:col>17</xdr:col>
      <xdr:colOff>545586</xdr:colOff>
      <xdr:row>53</xdr:row>
      <xdr:rowOff>33618</xdr:rowOff>
    </xdr:to>
    <xdr:graphicFrame macro="">
      <xdr:nvGraphicFramePr>
        <xdr:cNvPr id="9" name="Диаграмма 8">
          <a:extLst>
            <a:ext uri="{FF2B5EF4-FFF2-40B4-BE49-F238E27FC236}">
              <a16:creationId xmlns="" xmlns:a16="http://schemas.microsoft.com/office/drawing/2014/main" id="{BB59AA76-E37D-412E-899E-00039A6BD8E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3</xdr:col>
      <xdr:colOff>51828</xdr:colOff>
      <xdr:row>56</xdr:row>
      <xdr:rowOff>25914</xdr:rowOff>
    </xdr:from>
    <xdr:to>
      <xdr:col>9</xdr:col>
      <xdr:colOff>94550</xdr:colOff>
      <xdr:row>69</xdr:row>
      <xdr:rowOff>70738</xdr:rowOff>
    </xdr:to>
    <xdr:graphicFrame macro="">
      <xdr:nvGraphicFramePr>
        <xdr:cNvPr id="10" name="Диаграмма 9">
          <a:extLst>
            <a:ext uri="{FF2B5EF4-FFF2-40B4-BE49-F238E27FC236}">
              <a16:creationId xmlns="" xmlns:a16="http://schemas.microsoft.com/office/drawing/2014/main" id="{DAF96633-8D99-463E-AC08-735912B6639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9</xdr:col>
      <xdr:colOff>1143000</xdr:colOff>
      <xdr:row>55</xdr:row>
      <xdr:rowOff>145676</xdr:rowOff>
    </xdr:from>
    <xdr:to>
      <xdr:col>17</xdr:col>
      <xdr:colOff>582706</xdr:colOff>
      <xdr:row>69</xdr:row>
      <xdr:rowOff>0</xdr:rowOff>
    </xdr:to>
    <xdr:graphicFrame macro="">
      <xdr:nvGraphicFramePr>
        <xdr:cNvPr id="11" name="Диаграмма 10">
          <a:extLst>
            <a:ext uri="{FF2B5EF4-FFF2-40B4-BE49-F238E27FC236}">
              <a16:creationId xmlns="" xmlns:a16="http://schemas.microsoft.com/office/drawing/2014/main" id="{DE817965-DB06-4A2D-9D9E-F60628F04DA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4</xdr:col>
      <xdr:colOff>146374</xdr:colOff>
      <xdr:row>70</xdr:row>
      <xdr:rowOff>151279</xdr:rowOff>
    </xdr:from>
    <xdr:to>
      <xdr:col>9</xdr:col>
      <xdr:colOff>798417</xdr:colOff>
      <xdr:row>82</xdr:row>
      <xdr:rowOff>140074</xdr:rowOff>
    </xdr:to>
    <xdr:graphicFrame macro="">
      <xdr:nvGraphicFramePr>
        <xdr:cNvPr id="12" name="Диаграмма 11">
          <a:extLst>
            <a:ext uri="{FF2B5EF4-FFF2-40B4-BE49-F238E27FC236}">
              <a16:creationId xmlns="" xmlns:a16="http://schemas.microsoft.com/office/drawing/2014/main" id="{3366585A-CB00-4B41-A087-BA410EE5EA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4</xdr:col>
      <xdr:colOff>128167</xdr:colOff>
      <xdr:row>83</xdr:row>
      <xdr:rowOff>160383</xdr:rowOff>
    </xdr:from>
    <xdr:to>
      <xdr:col>9</xdr:col>
      <xdr:colOff>780210</xdr:colOff>
      <xdr:row>95</xdr:row>
      <xdr:rowOff>160384</xdr:rowOff>
    </xdr:to>
    <xdr:graphicFrame macro="">
      <xdr:nvGraphicFramePr>
        <xdr:cNvPr id="13" name="Диаграмма 12">
          <a:extLst>
            <a:ext uri="{FF2B5EF4-FFF2-40B4-BE49-F238E27FC236}">
              <a16:creationId xmlns="" xmlns:a16="http://schemas.microsoft.com/office/drawing/2014/main" id="{BBB8C612-DA21-4BC9-9514-B064949E5CD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9</xdr:col>
      <xdr:colOff>1079967</xdr:colOff>
      <xdr:row>83</xdr:row>
      <xdr:rowOff>168787</xdr:rowOff>
    </xdr:from>
    <xdr:to>
      <xdr:col>17</xdr:col>
      <xdr:colOff>519673</xdr:colOff>
      <xdr:row>96</xdr:row>
      <xdr:rowOff>23111</xdr:rowOff>
    </xdr:to>
    <xdr:graphicFrame macro="">
      <xdr:nvGraphicFramePr>
        <xdr:cNvPr id="14" name="Диаграмма 13">
          <a:extLst>
            <a:ext uri="{FF2B5EF4-FFF2-40B4-BE49-F238E27FC236}">
              <a16:creationId xmlns="" xmlns:a16="http://schemas.microsoft.com/office/drawing/2014/main" id="{CEA1808C-28A1-4FA1-A975-AABB99696A7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571500</xdr:colOff>
      <xdr:row>16</xdr:row>
      <xdr:rowOff>519546</xdr:rowOff>
    </xdr:from>
    <xdr:to>
      <xdr:col>25</xdr:col>
      <xdr:colOff>-1</xdr:colOff>
      <xdr:row>25</xdr:row>
      <xdr:rowOff>242455</xdr:rowOff>
    </xdr:to>
    <xdr:graphicFrame macro="">
      <xdr:nvGraphicFramePr>
        <xdr:cNvPr id="3" name="Диаграмма 2">
          <a:extLst>
            <a:ext uri="{FF2B5EF4-FFF2-40B4-BE49-F238E27FC236}">
              <a16:creationId xmlns="" xmlns:a16="http://schemas.microsoft.com/office/drawing/2014/main" id="{00000000-0008-0000-0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0</xdr:colOff>
      <xdr:row>0</xdr:row>
      <xdr:rowOff>0</xdr:rowOff>
    </xdr:from>
    <xdr:to>
      <xdr:col>14</xdr:col>
      <xdr:colOff>2597</xdr:colOff>
      <xdr:row>11</xdr:row>
      <xdr:rowOff>174914</xdr:rowOff>
    </xdr:to>
    <xdr:graphicFrame macro="">
      <xdr:nvGraphicFramePr>
        <xdr:cNvPr id="5" name="Диаграмма 4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571499</xdr:colOff>
      <xdr:row>11</xdr:row>
      <xdr:rowOff>381000</xdr:rowOff>
    </xdr:from>
    <xdr:to>
      <xdr:col>13</xdr:col>
      <xdr:colOff>574097</xdr:colOff>
      <xdr:row>16</xdr:row>
      <xdr:rowOff>272639</xdr:rowOff>
    </xdr:to>
    <xdr:graphicFrame macro="">
      <xdr:nvGraphicFramePr>
        <xdr:cNvPr id="6" name="Диаграмма 5">
          <a:extLst>
            <a:ext uri="{FF2B5EF4-FFF2-40B4-BE49-F238E27FC236}">
              <a16:creationId xmlns="" xmlns:a16="http://schemas.microsoft.com/office/drawing/2014/main" id="{00000000-0008-0000-03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1051;&#1080;&#1089;&#1090;7%20(3)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hs.ru\ca\Users\ilizarov.m.i\AppData\Local\Temp\Temp1_5.%20&#1044;&#1083;&#1103;%20&#1052;&#1063;&#1057;%20&#1052;&#1077;&#1076;&#1080;&#1072;.zip\5.%20&#1044;&#1083;&#1103;%20&#1052;&#1063;&#1057;%20&#1052;&#1077;&#1076;&#1080;&#1072;\&#1043;&#1083;&#1072;&#1074;&#1072;%201\&#1055;&#1091;&#1085;&#1082;&#1090;%201.1\&#1044;&#1072;&#1085;&#1085;&#1099;&#1077;%20&#1086;&#1090;%20&#1054;&#1057;&#1080;&#1040;&#1051;&#1063;&#1057;%20&#1076;&#1083;&#1103;%20&#1043;&#1044;%202022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microsoft.com/office/2006/relationships/xlExternalLinkPath/xlPathMissing" Target="1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&#1055;&#1086;&#1083;&#1085;&#1072;&#1103;%20&#1075;&#1083;&#1072;&#1074;&#1072;%201%20+%20&#1090;&#1072;&#1073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7 (3)"/>
      <sheetName val="Рис. 3.1"/>
    </sheetNames>
    <sheetDataSet>
      <sheetData sheetId="0" refreshError="1"/>
      <sheetData sheetId="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Таблица 1.1"/>
      <sheetName val="Таблица 1.2"/>
      <sheetName val="Таблица 1.3"/>
      <sheetName val="Таблица 1.4"/>
      <sheetName val="Таблица 1.13"/>
      <sheetName val="Таблица 4.1."/>
      <sheetName val="Таблица 4.2."/>
      <sheetName val="Таблица 4.3."/>
    </sheetNames>
    <sheetDataSet>
      <sheetData sheetId="0"/>
      <sheetData sheetId="1">
        <row r="3">
          <cell r="A3" t="str">
            <v>ДФО</v>
          </cell>
        </row>
      </sheetData>
      <sheetData sheetId="2">
        <row r="4">
          <cell r="A4" t="str">
            <v>Техногенные ЧС</v>
          </cell>
        </row>
        <row r="40">
          <cell r="B40">
            <v>190</v>
          </cell>
          <cell r="C40">
            <v>164</v>
          </cell>
        </row>
        <row r="42">
          <cell r="A42" t="str">
            <v>Природные ЧС</v>
          </cell>
        </row>
        <row r="89">
          <cell r="B89">
            <v>108</v>
          </cell>
          <cell r="C89">
            <v>57</v>
          </cell>
        </row>
        <row r="90">
          <cell r="A90" t="str">
            <v>Природные чрезвычайные ситуации, связанные с биологической опасностью</v>
          </cell>
        </row>
        <row r="94">
          <cell r="B94">
            <v>86</v>
          </cell>
          <cell r="C94">
            <v>21</v>
          </cell>
        </row>
      </sheetData>
      <sheetData sheetId="3"/>
      <sheetData sheetId="4"/>
      <sheetData sheetId="5"/>
      <sheetData sheetId="6"/>
      <sheetData sheetId="7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.15 ПСФ"/>
      <sheetName val="1.22 ДПО"/>
    </sheetNames>
    <sheetDataSet>
      <sheetData sheetId="0" refreshError="1"/>
      <sheetData sheetId="1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Таблица 1.1+ общее"/>
      <sheetName val="1.1 оперативные показатели"/>
      <sheetName val="1.2 Пожары"/>
      <sheetName val="1.3 Водные объекты"/>
      <sheetName val="1.4 дтп "/>
      <sheetName val="1.5 ЧС техноген"/>
      <sheetName val="1.6 ЧС техноген ФО"/>
      <sheetName val="1.7 ЧС природные"/>
      <sheetName val="1.8 ЧС природ ФО"/>
      <sheetName val="1.9 Биолог"/>
      <sheetName val="1.10 Заболевания людей"/>
      <sheetName val="Таблица 1.3+"/>
      <sheetName val="1,3 разделенная"/>
      <sheetName val="1.11 Эпизоотии"/>
      <sheetName val="1.12 Эпифитотии"/>
      <sheetName val="1.13 ЦУКС"/>
      <sheetName val="1.14 СМИ Организация информиров"/>
      <sheetName val="1.15 ПСФ"/>
      <sheetName val="1.16 СВФ"/>
      <sheetName val="1.17 РПП"/>
      <sheetName val="1.18 ВГCЧ"/>
      <sheetName val="1.19 ПфВЧ"/>
      <sheetName val="1.20 СПО ФПС"/>
      <sheetName val="1.21 Психологи"/>
      <sheetName val="1.22 ДПО"/>
      <sheetName val="1.23 Надзор ЗНТЧС "/>
      <sheetName val="1.24 ГПН"/>
      <sheetName val="1.25 Лицензир-е"/>
      <sheetName val="1.26 ГИМС"/>
      <sheetName val="1.27 ЧГР"/>
      <sheetName val="1.28 ГП ДНР ЛНР ХО ЗО"/>
      <sheetName val="1.29 авиац-е обесп-е"/>
      <sheetName val="1.30 БАС"/>
      <sheetName val="1.31 Показатель Риск"/>
      <sheetName val="1.32 Показатель ЗН от ЧС"/>
      <sheetName val="1.33 Сведения по ПОО"/>
      <sheetName val="Таблица 1.4+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>
        <row r="2">
          <cell r="C2" t="str">
            <v>2022 г.</v>
          </cell>
          <cell r="D2" t="str">
            <v>2023 г.</v>
          </cell>
          <cell r="I2" t="str">
            <v>2022 г.</v>
          </cell>
          <cell r="J2" t="str">
            <v>2023 г.</v>
          </cell>
        </row>
        <row r="3">
          <cell r="C3">
            <v>102915</v>
          </cell>
          <cell r="I3">
            <v>678047</v>
          </cell>
        </row>
        <row r="16">
          <cell r="C16" t="str">
            <v>2022 г.</v>
          </cell>
          <cell r="D16" t="str">
            <v>2023 г.</v>
          </cell>
          <cell r="I16" t="str">
            <v>2022 г.</v>
          </cell>
          <cell r="J16" t="str">
            <v>2023 г.</v>
          </cell>
        </row>
        <row r="17">
          <cell r="C17">
            <v>66122</v>
          </cell>
          <cell r="I17">
            <v>177</v>
          </cell>
        </row>
        <row r="29">
          <cell r="C29" t="str">
            <v>2022 год</v>
          </cell>
          <cell r="D29" t="str">
            <v xml:space="preserve">2023 год </v>
          </cell>
          <cell r="I29" t="str">
            <v>2022 г.</v>
          </cell>
          <cell r="J29" t="str">
            <v>2023 г.</v>
          </cell>
        </row>
        <row r="30">
          <cell r="B30" t="str">
            <v xml:space="preserve">Плановые </v>
          </cell>
          <cell r="C30">
            <v>377</v>
          </cell>
          <cell r="H30" t="str">
            <v>Количество выданных предписаний</v>
          </cell>
          <cell r="I30">
            <v>114</v>
          </cell>
        </row>
        <row r="31">
          <cell r="B31" t="str">
            <v>Внеплановые</v>
          </cell>
          <cell r="C31">
            <v>111</v>
          </cell>
        </row>
      </sheetData>
      <sheetData sheetId="27">
        <row r="6">
          <cell r="D6" t="str">
            <v>2022 г.</v>
          </cell>
          <cell r="E6" t="str">
            <v>2023 г.</v>
          </cell>
          <cell r="J6" t="str">
            <v>2022 г.</v>
          </cell>
          <cell r="K6" t="str">
            <v>2023 г.</v>
          </cell>
          <cell r="AG6">
            <v>2012</v>
          </cell>
          <cell r="AH6">
            <v>2013</v>
          </cell>
          <cell r="AI6">
            <v>2014</v>
          </cell>
          <cell r="AJ6">
            <v>2015</v>
          </cell>
          <cell r="AK6">
            <v>2016</v>
          </cell>
          <cell r="AL6">
            <v>2017</v>
          </cell>
          <cell r="AM6">
            <v>2018</v>
          </cell>
          <cell r="AN6">
            <v>2019</v>
          </cell>
          <cell r="AO6">
            <v>2020</v>
          </cell>
          <cell r="AP6">
            <v>2021</v>
          </cell>
          <cell r="AQ6">
            <v>2022</v>
          </cell>
          <cell r="AR6">
            <v>2023</v>
          </cell>
        </row>
        <row r="7">
          <cell r="D7">
            <v>55185</v>
          </cell>
          <cell r="E7">
            <v>20000</v>
          </cell>
          <cell r="J7">
            <v>1154</v>
          </cell>
          <cell r="K7">
            <v>500</v>
          </cell>
          <cell r="AG7">
            <v>189</v>
          </cell>
          <cell r="AH7">
            <v>171</v>
          </cell>
          <cell r="AI7">
            <v>86</v>
          </cell>
          <cell r="AJ7">
            <v>98</v>
          </cell>
          <cell r="AK7">
            <v>133</v>
          </cell>
          <cell r="AL7">
            <v>125</v>
          </cell>
          <cell r="AM7">
            <v>42</v>
          </cell>
          <cell r="AN7">
            <v>66</v>
          </cell>
          <cell r="AO7">
            <v>43</v>
          </cell>
          <cell r="AP7">
            <v>27</v>
          </cell>
          <cell r="AQ7">
            <v>22</v>
          </cell>
        </row>
        <row r="8">
          <cell r="X8" t="str">
            <v>ДФО</v>
          </cell>
          <cell r="Y8">
            <v>139</v>
          </cell>
          <cell r="Z8">
            <v>183</v>
          </cell>
          <cell r="AA8">
            <v>1</v>
          </cell>
          <cell r="AB8">
            <v>1</v>
          </cell>
          <cell r="AG8">
            <v>4923</v>
          </cell>
          <cell r="AH8">
            <v>5874</v>
          </cell>
          <cell r="AI8">
            <v>5633</v>
          </cell>
          <cell r="AJ8">
            <v>6153</v>
          </cell>
          <cell r="AK8">
            <v>5520</v>
          </cell>
          <cell r="AL8">
            <v>4767</v>
          </cell>
          <cell r="AM8">
            <v>4174</v>
          </cell>
          <cell r="AN8">
            <v>4412</v>
          </cell>
          <cell r="AO8">
            <v>4248</v>
          </cell>
          <cell r="AP8">
            <v>2701</v>
          </cell>
          <cell r="AQ8">
            <v>2957</v>
          </cell>
        </row>
        <row r="9">
          <cell r="X9" t="str">
            <v>СФО</v>
          </cell>
          <cell r="Y9">
            <v>305</v>
          </cell>
          <cell r="Z9">
            <v>274</v>
          </cell>
          <cell r="AA9">
            <v>1</v>
          </cell>
          <cell r="AB9">
            <v>1</v>
          </cell>
        </row>
        <row r="10">
          <cell r="X10" t="str">
            <v>УФО</v>
          </cell>
          <cell r="Y10">
            <v>325</v>
          </cell>
          <cell r="Z10">
            <v>298</v>
          </cell>
          <cell r="AA10">
            <v>1</v>
          </cell>
          <cell r="AB10">
            <v>1</v>
          </cell>
        </row>
        <row r="11">
          <cell r="X11" t="str">
            <v>ПФО</v>
          </cell>
          <cell r="Y11">
            <v>556</v>
          </cell>
          <cell r="Z11">
            <v>368</v>
          </cell>
          <cell r="AA11">
            <v>1</v>
          </cell>
          <cell r="AB11">
            <v>1</v>
          </cell>
        </row>
        <row r="12">
          <cell r="X12" t="str">
            <v>ЮФО</v>
          </cell>
          <cell r="Y12">
            <v>240</v>
          </cell>
          <cell r="Z12">
            <v>207</v>
          </cell>
          <cell r="AA12">
            <v>1</v>
          </cell>
          <cell r="AB12">
            <v>1</v>
          </cell>
        </row>
        <row r="13">
          <cell r="X13" t="str">
            <v>СКФО</v>
          </cell>
          <cell r="Y13">
            <v>69</v>
          </cell>
          <cell r="Z13">
            <v>51</v>
          </cell>
          <cell r="AA13">
            <v>1</v>
          </cell>
          <cell r="AB13">
            <v>1</v>
          </cell>
        </row>
        <row r="14">
          <cell r="X14" t="str">
            <v>СЗФО</v>
          </cell>
          <cell r="Y14">
            <v>440</v>
          </cell>
          <cell r="Z14">
            <v>443</v>
          </cell>
          <cell r="AA14">
            <v>1</v>
          </cell>
          <cell r="AB14">
            <v>1</v>
          </cell>
        </row>
        <row r="15">
          <cell r="X15" t="str">
            <v>ЦФО</v>
          </cell>
          <cell r="Y15">
            <v>905</v>
          </cell>
          <cell r="Z15">
            <v>588</v>
          </cell>
          <cell r="AA15">
            <v>1</v>
          </cell>
          <cell r="AB15">
            <v>1</v>
          </cell>
        </row>
        <row r="20">
          <cell r="D20" t="str">
            <v>2022 г.</v>
          </cell>
          <cell r="E20" t="str">
            <v>2023 г.</v>
          </cell>
          <cell r="J20" t="str">
            <v>2022 г.</v>
          </cell>
          <cell r="K20" t="str">
            <v>2023 г.</v>
          </cell>
        </row>
        <row r="21">
          <cell r="D21">
            <v>2367</v>
          </cell>
          <cell r="E21">
            <v>20000</v>
          </cell>
          <cell r="J21">
            <v>45</v>
          </cell>
          <cell r="K21">
            <v>50</v>
          </cell>
        </row>
        <row r="34">
          <cell r="D34" t="str">
            <v>2022 г.</v>
          </cell>
          <cell r="E34" t="str">
            <v>2023 г.</v>
          </cell>
          <cell r="J34" t="str">
            <v>2022 г.</v>
          </cell>
          <cell r="K34" t="str">
            <v>2023 г.</v>
          </cell>
        </row>
        <row r="35">
          <cell r="D35">
            <v>2957</v>
          </cell>
          <cell r="E35">
            <v>5555</v>
          </cell>
          <cell r="J35">
            <v>22</v>
          </cell>
          <cell r="K35">
            <v>55</v>
          </cell>
        </row>
        <row r="48">
          <cell r="D48" t="str">
            <v>2022 г.</v>
          </cell>
          <cell r="E48" t="str">
            <v>2023 г.</v>
          </cell>
          <cell r="J48" t="str">
            <v>2022 г.</v>
          </cell>
          <cell r="K48" t="str">
            <v>2023 г.</v>
          </cell>
        </row>
        <row r="49">
          <cell r="D49">
            <v>1269</v>
          </cell>
          <cell r="E49">
            <v>555</v>
          </cell>
          <cell r="J49">
            <v>57</v>
          </cell>
          <cell r="K49">
            <v>555</v>
          </cell>
        </row>
      </sheetData>
      <sheetData sheetId="28">
        <row r="4">
          <cell r="D4" t="str">
            <v>2022 г.</v>
          </cell>
          <cell r="E4" t="str">
            <v>2023 г.</v>
          </cell>
        </row>
        <row r="5">
          <cell r="C5" t="str">
            <v>маломерных судов</v>
          </cell>
          <cell r="D5">
            <v>1530816</v>
          </cell>
        </row>
        <row r="6">
          <cell r="C6" t="str">
            <v>аттестованных судоводителей, всего</v>
          </cell>
          <cell r="D6">
            <v>1510457</v>
          </cell>
        </row>
        <row r="16">
          <cell r="D16" t="str">
            <v>2022 г.</v>
          </cell>
          <cell r="E16" t="str">
            <v>2023 г.</v>
          </cell>
        </row>
        <row r="17">
          <cell r="C17" t="str">
            <v>база (сооружение) для стоянок маломерных судов</v>
          </cell>
          <cell r="D17">
            <v>1921</v>
          </cell>
        </row>
        <row r="18">
          <cell r="C18" t="str">
            <v>переправа (кроме паромных переправ), на которых используются маломерные суда</v>
          </cell>
          <cell r="D18">
            <v>81</v>
          </cell>
        </row>
        <row r="19">
          <cell r="C19" t="str">
            <v>пляжей, специально оборудованных  для купания</v>
          </cell>
          <cell r="D19">
            <v>3287</v>
          </cell>
        </row>
        <row r="20">
          <cell r="C20" t="str">
            <v>ледовых переправ</v>
          </cell>
          <cell r="D20">
            <v>1005</v>
          </cell>
        </row>
        <row r="21">
          <cell r="C21" t="str">
            <v>наплавных мостов за пределами ВВП РФ</v>
          </cell>
          <cell r="D21">
            <v>104</v>
          </cell>
        </row>
        <row r="29">
          <cell r="D29" t="str">
            <v>2022 г.</v>
          </cell>
          <cell r="E29" t="str">
            <v>2023 г.</v>
          </cell>
        </row>
        <row r="30">
          <cell r="C30" t="str">
            <v>услуги по регистрации
маломерных судов</v>
          </cell>
          <cell r="D30">
            <v>79521</v>
          </cell>
        </row>
        <row r="31">
          <cell r="C31" t="str">
            <v>услуги по аттестации на право управления маломерным судном</v>
          </cell>
          <cell r="D31">
            <v>67372</v>
          </cell>
        </row>
        <row r="32">
          <cell r="C32" t="str">
            <v>услуг по свидетельствованию маломерных судов</v>
          </cell>
          <cell r="D32">
            <v>55606</v>
          </cell>
        </row>
        <row r="44">
          <cell r="D44" t="str">
            <v>2022 г.</v>
          </cell>
          <cell r="E44" t="str">
            <v>2023 г.</v>
          </cell>
        </row>
        <row r="45">
          <cell r="C45" t="str">
            <v>нарушений</v>
          </cell>
          <cell r="D45">
            <v>30907</v>
          </cell>
        </row>
        <row r="46">
          <cell r="C46" t="str">
            <v>штрафов</v>
          </cell>
          <cell r="D46">
            <v>26397</v>
          </cell>
        </row>
        <row r="47">
          <cell r="C47" t="str">
            <v>патрулирований на водных объектах</v>
          </cell>
          <cell r="D47">
            <v>88275</v>
          </cell>
        </row>
      </sheetData>
      <sheetData sheetId="29">
        <row r="3">
          <cell r="D3" t="str">
            <v xml:space="preserve">2022 г. </v>
          </cell>
          <cell r="E3" t="str">
            <v>2023 г.</v>
          </cell>
        </row>
        <row r="10">
          <cell r="D10">
            <v>35</v>
          </cell>
          <cell r="E10">
            <v>0</v>
          </cell>
        </row>
      </sheetData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</sheetDataSet>
  </externalBook>
</externalLink>
</file>

<file path=xl/tables/table1.xml><?xml version="1.0" encoding="utf-8"?>
<table xmlns="http://schemas.openxmlformats.org/spreadsheetml/2006/main" id="1" name="Таблица1" displayName="Таблица1" ref="A5:B11" totalsRowShown="0" headerRowDxfId="3" dataDxfId="2">
  <tableColumns count="2">
    <tableColumn id="1" name="Распределение РОО по типам" dataDxfId="1"/>
    <tableColumn id="2" name="2023 г." dataDxfId="0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Синий">
      <a:dk1>
        <a:sysClr val="windowText" lastClr="000000"/>
      </a:dk1>
      <a:lt1>
        <a:sysClr val="window" lastClr="FFFFFF"/>
      </a:lt1>
      <a:dk2>
        <a:srgbClr val="17406D"/>
      </a:dk2>
      <a:lt2>
        <a:srgbClr val="DBEFF9"/>
      </a:lt2>
      <a:accent1>
        <a:srgbClr val="0F6FC6"/>
      </a:accent1>
      <a:accent2>
        <a:srgbClr val="009DD9"/>
      </a:accent2>
      <a:accent3>
        <a:srgbClr val="0BD0D9"/>
      </a:accent3>
      <a:accent4>
        <a:srgbClr val="10CF9B"/>
      </a:accent4>
      <a:accent5>
        <a:srgbClr val="7CCA62"/>
      </a:accent5>
      <a:accent6>
        <a:srgbClr val="A5C249"/>
      </a:accent6>
      <a:hlink>
        <a:srgbClr val="F49100"/>
      </a:hlink>
      <a:folHlink>
        <a:srgbClr val="85DFD0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5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6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7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8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26.xm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H93"/>
  <sheetViews>
    <sheetView zoomScale="70" zoomScaleNormal="70" workbookViewId="0">
      <selection activeCell="AT16" sqref="AT16"/>
    </sheetView>
  </sheetViews>
  <sheetFormatPr defaultColWidth="9.140625" defaultRowHeight="12.75" x14ac:dyDescent="0.25"/>
  <cols>
    <col min="1" max="1" width="45.7109375" style="22" customWidth="1"/>
    <col min="2" max="2" width="9.140625" style="22" customWidth="1"/>
    <col min="3" max="8" width="9.140625" style="22"/>
    <col min="9" max="9" width="10.140625" style="22" customWidth="1"/>
    <col min="10" max="19" width="9.140625" style="22"/>
    <col min="20" max="20" width="31.140625" style="22" customWidth="1"/>
    <col min="21" max="28" width="9.140625" style="22"/>
    <col min="29" max="29" width="43.140625" style="22" customWidth="1"/>
    <col min="30" max="45" width="9.140625" style="22"/>
    <col min="46" max="46" width="44.7109375" style="22" customWidth="1"/>
    <col min="47" max="16384" width="9.140625" style="22"/>
  </cols>
  <sheetData>
    <row r="1" spans="1:60" ht="27.75" customHeight="1" thickBot="1" x14ac:dyDescent="0.3">
      <c r="A1" s="199" t="s">
        <v>14</v>
      </c>
      <c r="B1" s="196" t="s">
        <v>0</v>
      </c>
      <c r="C1" s="197"/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8"/>
      <c r="AC1" s="199" t="s">
        <v>14</v>
      </c>
      <c r="AD1" s="196" t="s">
        <v>0</v>
      </c>
      <c r="AE1" s="197"/>
      <c r="AF1" s="197"/>
      <c r="AG1" s="197"/>
      <c r="AH1" s="197"/>
      <c r="AI1" s="197"/>
      <c r="AJ1" s="197"/>
      <c r="AK1" s="197"/>
      <c r="AL1" s="197"/>
      <c r="AM1" s="197"/>
      <c r="AN1" s="197"/>
      <c r="AO1" s="197"/>
      <c r="AP1" s="197"/>
      <c r="AQ1" s="198"/>
      <c r="AT1" s="199" t="s">
        <v>14</v>
      </c>
      <c r="AU1" s="196" t="s">
        <v>0</v>
      </c>
      <c r="AV1" s="197"/>
      <c r="AW1" s="197"/>
      <c r="AX1" s="197"/>
      <c r="AY1" s="197"/>
      <c r="AZ1" s="197"/>
      <c r="BA1" s="197"/>
      <c r="BB1" s="197"/>
      <c r="BC1" s="197"/>
      <c r="BD1" s="197"/>
      <c r="BE1" s="197"/>
      <c r="BF1" s="197"/>
      <c r="BG1" s="197"/>
      <c r="BH1" s="198"/>
    </row>
    <row r="2" spans="1:60" ht="42" customHeight="1" thickBot="1" x14ac:dyDescent="0.3">
      <c r="A2" s="200"/>
      <c r="B2" s="196" t="s">
        <v>2</v>
      </c>
      <c r="C2" s="198"/>
      <c r="D2" s="42" t="s">
        <v>123</v>
      </c>
      <c r="E2" s="43"/>
      <c r="F2" s="42" t="s">
        <v>3</v>
      </c>
      <c r="G2" s="43"/>
      <c r="H2" s="42" t="s">
        <v>4</v>
      </c>
      <c r="I2" s="43"/>
      <c r="J2" s="42" t="s">
        <v>5</v>
      </c>
      <c r="K2" s="43"/>
      <c r="L2" s="42" t="s">
        <v>6</v>
      </c>
      <c r="M2" s="43"/>
      <c r="N2" s="42" t="s">
        <v>7</v>
      </c>
      <c r="O2" s="43"/>
      <c r="T2" s="25"/>
      <c r="AC2" s="200"/>
      <c r="AD2" s="196" t="s">
        <v>2</v>
      </c>
      <c r="AE2" s="198"/>
      <c r="AF2" s="42" t="s">
        <v>123</v>
      </c>
      <c r="AG2" s="43"/>
      <c r="AH2" s="42" t="s">
        <v>3</v>
      </c>
      <c r="AI2" s="43"/>
      <c r="AJ2" s="42" t="s">
        <v>4</v>
      </c>
      <c r="AK2" s="43"/>
      <c r="AL2" s="42" t="s">
        <v>5</v>
      </c>
      <c r="AM2" s="43"/>
      <c r="AN2" s="42" t="s">
        <v>6</v>
      </c>
      <c r="AO2" s="43"/>
      <c r="AP2" s="42" t="s">
        <v>7</v>
      </c>
      <c r="AQ2" s="43"/>
      <c r="AT2" s="200"/>
      <c r="AU2" s="196" t="s">
        <v>2</v>
      </c>
      <c r="AV2" s="198"/>
      <c r="AW2" s="42" t="s">
        <v>123</v>
      </c>
      <c r="AX2" s="43"/>
      <c r="AY2" s="42" t="s">
        <v>3</v>
      </c>
      <c r="AZ2" s="43"/>
      <c r="BA2" s="42" t="s">
        <v>4</v>
      </c>
      <c r="BB2" s="43"/>
      <c r="BC2" s="42" t="s">
        <v>5</v>
      </c>
      <c r="BD2" s="43"/>
      <c r="BE2" s="42" t="s">
        <v>6</v>
      </c>
      <c r="BF2" s="43"/>
      <c r="BG2" s="42" t="s">
        <v>7</v>
      </c>
      <c r="BH2" s="43"/>
    </row>
    <row r="3" spans="1:60" ht="39.75" customHeight="1" thickBot="1" x14ac:dyDescent="0.3">
      <c r="A3" s="201"/>
      <c r="B3" s="37" t="s">
        <v>122</v>
      </c>
      <c r="C3" s="37" t="s">
        <v>223</v>
      </c>
      <c r="D3" s="37" t="s">
        <v>122</v>
      </c>
      <c r="E3" s="37" t="s">
        <v>223</v>
      </c>
      <c r="F3" s="37" t="s">
        <v>122</v>
      </c>
      <c r="G3" s="37" t="s">
        <v>223</v>
      </c>
      <c r="H3" s="37" t="s">
        <v>122</v>
      </c>
      <c r="I3" s="37" t="s">
        <v>223</v>
      </c>
      <c r="J3" s="37" t="s">
        <v>122</v>
      </c>
      <c r="K3" s="37" t="s">
        <v>223</v>
      </c>
      <c r="L3" s="37" t="s">
        <v>122</v>
      </c>
      <c r="M3" s="37" t="s">
        <v>223</v>
      </c>
      <c r="N3" s="37" t="s">
        <v>122</v>
      </c>
      <c r="O3" s="37" t="s">
        <v>223</v>
      </c>
      <c r="T3" s="25"/>
      <c r="AC3" s="201"/>
      <c r="AD3" s="37" t="s">
        <v>122</v>
      </c>
      <c r="AE3" s="37" t="s">
        <v>223</v>
      </c>
      <c r="AF3" s="37" t="s">
        <v>122</v>
      </c>
      <c r="AG3" s="37" t="s">
        <v>223</v>
      </c>
      <c r="AH3" s="37" t="s">
        <v>122</v>
      </c>
      <c r="AI3" s="37" t="s">
        <v>223</v>
      </c>
      <c r="AJ3" s="37" t="s">
        <v>122</v>
      </c>
      <c r="AK3" s="37" t="s">
        <v>223</v>
      </c>
      <c r="AL3" s="37" t="s">
        <v>122</v>
      </c>
      <c r="AM3" s="37" t="s">
        <v>223</v>
      </c>
      <c r="AN3" s="37" t="s">
        <v>122</v>
      </c>
      <c r="AO3" s="37" t="s">
        <v>223</v>
      </c>
      <c r="AP3" s="37" t="s">
        <v>122</v>
      </c>
      <c r="AQ3" s="37" t="s">
        <v>223</v>
      </c>
      <c r="AT3" s="201"/>
      <c r="AU3" s="37" t="s">
        <v>122</v>
      </c>
      <c r="AV3" s="37" t="s">
        <v>223</v>
      </c>
      <c r="AW3" s="37" t="s">
        <v>122</v>
      </c>
      <c r="AX3" s="37" t="s">
        <v>223</v>
      </c>
      <c r="AY3" s="37" t="s">
        <v>122</v>
      </c>
      <c r="AZ3" s="37" t="s">
        <v>223</v>
      </c>
      <c r="BA3" s="37" t="s">
        <v>122</v>
      </c>
      <c r="BB3" s="37" t="s">
        <v>223</v>
      </c>
      <c r="BC3" s="37" t="s">
        <v>122</v>
      </c>
      <c r="BD3" s="37" t="s">
        <v>223</v>
      </c>
      <c r="BE3" s="37" t="s">
        <v>122</v>
      </c>
      <c r="BF3" s="37" t="s">
        <v>223</v>
      </c>
      <c r="BG3" s="37" t="s">
        <v>122</v>
      </c>
      <c r="BH3" s="37" t="s">
        <v>223</v>
      </c>
    </row>
    <row r="4" spans="1:60" ht="21" customHeight="1" thickBot="1" x14ac:dyDescent="0.3">
      <c r="A4" s="193" t="s">
        <v>11</v>
      </c>
      <c r="B4" s="194"/>
      <c r="C4" s="194"/>
      <c r="D4" s="194"/>
      <c r="E4" s="194"/>
      <c r="F4" s="194"/>
      <c r="G4" s="194"/>
      <c r="H4" s="194"/>
      <c r="I4" s="194"/>
      <c r="J4" s="194"/>
      <c r="K4" s="194"/>
      <c r="L4" s="194"/>
      <c r="M4" s="194"/>
      <c r="N4" s="194"/>
      <c r="O4" s="195"/>
      <c r="T4" s="25"/>
      <c r="AC4" s="202" t="s">
        <v>12</v>
      </c>
      <c r="AD4" s="202"/>
      <c r="AE4" s="202"/>
      <c r="AF4" s="202"/>
      <c r="AG4" s="202"/>
      <c r="AH4" s="202"/>
      <c r="AI4" s="202"/>
      <c r="AJ4" s="202"/>
      <c r="AK4" s="202"/>
      <c r="AL4" s="202"/>
      <c r="AM4" s="202"/>
      <c r="AN4" s="202"/>
      <c r="AO4" s="202"/>
      <c r="AP4" s="202"/>
      <c r="AQ4" s="202"/>
      <c r="AT4" s="203" t="s">
        <v>212</v>
      </c>
      <c r="AU4" s="202"/>
      <c r="AV4" s="202"/>
      <c r="AW4" s="202"/>
      <c r="AX4" s="202"/>
      <c r="AY4" s="202"/>
      <c r="AZ4" s="202"/>
      <c r="BA4" s="202"/>
      <c r="BB4" s="202"/>
      <c r="BC4" s="202"/>
      <c r="BD4" s="202"/>
      <c r="BE4" s="202"/>
      <c r="BF4" s="202"/>
      <c r="BG4" s="202"/>
      <c r="BH4" s="204"/>
    </row>
    <row r="5" spans="1:60" s="23" customFormat="1" ht="21.6" customHeight="1" thickBot="1" x14ac:dyDescent="0.3">
      <c r="A5" s="13" t="s">
        <v>126</v>
      </c>
      <c r="B5" s="19">
        <f>SUM(D5,F5,H5,J5,L5,N5)</f>
        <v>64</v>
      </c>
      <c r="C5" s="19">
        <f>SUM(E5,G5,I5,K5,M5,O5)</f>
        <v>0</v>
      </c>
      <c r="D5" s="19">
        <f>SUM(D6:D13)</f>
        <v>26</v>
      </c>
      <c r="E5" s="19">
        <f t="shared" ref="E5:O5" si="0">SUM(E6:E13)</f>
        <v>0</v>
      </c>
      <c r="F5" s="19">
        <f>SUM(F6:F13)</f>
        <v>38</v>
      </c>
      <c r="G5" s="19">
        <f t="shared" si="0"/>
        <v>0</v>
      </c>
      <c r="H5" s="19">
        <f t="shared" si="0"/>
        <v>0</v>
      </c>
      <c r="I5" s="19">
        <f t="shared" si="0"/>
        <v>0</v>
      </c>
      <c r="J5" s="19">
        <f t="shared" si="0"/>
        <v>0</v>
      </c>
      <c r="K5" s="19">
        <f t="shared" si="0"/>
        <v>0</v>
      </c>
      <c r="L5" s="19">
        <f t="shared" si="0"/>
        <v>0</v>
      </c>
      <c r="M5" s="19">
        <f t="shared" si="0"/>
        <v>0</v>
      </c>
      <c r="N5" s="19">
        <f t="shared" si="0"/>
        <v>0</v>
      </c>
      <c r="O5" s="19">
        <f t="shared" si="0"/>
        <v>0</v>
      </c>
      <c r="AC5" s="13" t="s">
        <v>163</v>
      </c>
      <c r="AD5" s="19">
        <f>SUM(AF5,AH5,AJ5,AL5,AN5,AP5)</f>
        <v>0</v>
      </c>
      <c r="AE5" s="19">
        <f>SUM(AG5,AI5,AK5,AM5,AO5,AQ5)</f>
        <v>0</v>
      </c>
      <c r="AF5" s="19">
        <f t="shared" ref="AF5:AQ5" si="1">SUM(AF6:AF7)</f>
        <v>0</v>
      </c>
      <c r="AG5" s="19">
        <f t="shared" si="1"/>
        <v>0</v>
      </c>
      <c r="AH5" s="19">
        <f t="shared" si="1"/>
        <v>0</v>
      </c>
      <c r="AI5" s="19">
        <f t="shared" si="1"/>
        <v>0</v>
      </c>
      <c r="AJ5" s="19">
        <f t="shared" si="1"/>
        <v>0</v>
      </c>
      <c r="AK5" s="19">
        <f t="shared" si="1"/>
        <v>0</v>
      </c>
      <c r="AL5" s="19">
        <f t="shared" si="1"/>
        <v>0</v>
      </c>
      <c r="AM5" s="19">
        <f t="shared" si="1"/>
        <v>0</v>
      </c>
      <c r="AN5" s="19">
        <f t="shared" si="1"/>
        <v>0</v>
      </c>
      <c r="AO5" s="19">
        <f t="shared" si="1"/>
        <v>0</v>
      </c>
      <c r="AP5" s="19">
        <f t="shared" si="1"/>
        <v>0</v>
      </c>
      <c r="AQ5" s="19">
        <f t="shared" si="1"/>
        <v>0</v>
      </c>
      <c r="AT5" s="13" t="s">
        <v>211</v>
      </c>
      <c r="AU5" s="19">
        <f>SUM(AW5,AY5,BA5,BC5,BE5,BG5)</f>
        <v>1</v>
      </c>
      <c r="AV5" s="19">
        <f t="shared" ref="AV5:AV7" si="2">SUM(AX5,AZ5,BB5,BD5,BF5,BH5)</f>
        <v>0</v>
      </c>
      <c r="AW5" s="38">
        <v>0</v>
      </c>
      <c r="AX5" s="38">
        <v>0</v>
      </c>
      <c r="AY5" s="38">
        <v>1</v>
      </c>
      <c r="AZ5" s="38">
        <v>0</v>
      </c>
      <c r="BA5" s="38">
        <v>0</v>
      </c>
      <c r="BB5" s="38">
        <v>0</v>
      </c>
      <c r="BC5" s="38">
        <v>0</v>
      </c>
      <c r="BD5" s="38">
        <v>0</v>
      </c>
      <c r="BE5" s="38">
        <v>0</v>
      </c>
      <c r="BF5" s="38">
        <v>0</v>
      </c>
      <c r="BG5" s="38">
        <v>0</v>
      </c>
      <c r="BH5" s="38">
        <v>0</v>
      </c>
    </row>
    <row r="6" spans="1:60" ht="27" customHeight="1" thickBot="1" x14ac:dyDescent="0.3">
      <c r="A6" s="12" t="s">
        <v>127</v>
      </c>
      <c r="B6" s="20">
        <f>SUM(D6,F6,H6,J6,L6,N6)</f>
        <v>0</v>
      </c>
      <c r="C6" s="20">
        <f>SUM(E6,G6,I6,K6,M6,O6)</f>
        <v>0</v>
      </c>
      <c r="D6" s="5">
        <v>0</v>
      </c>
      <c r="E6" s="48">
        <v>0</v>
      </c>
      <c r="F6" s="5">
        <v>0</v>
      </c>
      <c r="G6" s="48">
        <v>0</v>
      </c>
      <c r="H6" s="5">
        <v>0</v>
      </c>
      <c r="I6" s="48">
        <v>0</v>
      </c>
      <c r="J6" s="5">
        <v>0</v>
      </c>
      <c r="K6" s="48">
        <v>0</v>
      </c>
      <c r="L6" s="5">
        <v>0</v>
      </c>
      <c r="M6" s="48">
        <v>0</v>
      </c>
      <c r="N6" s="5">
        <v>0</v>
      </c>
      <c r="O6" s="48">
        <v>0</v>
      </c>
      <c r="AC6" s="12" t="s">
        <v>164</v>
      </c>
      <c r="AD6" s="21">
        <f t="shared" ref="AD6:AD12" si="3">SUM(AF6,AH6,AJ6,AL6,AN6,AP6)</f>
        <v>0</v>
      </c>
      <c r="AE6" s="21">
        <f t="shared" ref="AE6:AE30" si="4">SUM(AG6,AI6,AK6,AM6,AO6,AQ6)</f>
        <v>0</v>
      </c>
      <c r="AF6" s="16">
        <v>0</v>
      </c>
      <c r="AG6" s="16">
        <v>0</v>
      </c>
      <c r="AH6" s="16">
        <v>0</v>
      </c>
      <c r="AI6" s="16">
        <v>0</v>
      </c>
      <c r="AJ6" s="16">
        <v>0</v>
      </c>
      <c r="AK6" s="16">
        <v>0</v>
      </c>
      <c r="AL6" s="16">
        <v>0</v>
      </c>
      <c r="AM6" s="16">
        <v>0</v>
      </c>
      <c r="AN6" s="16">
        <v>0</v>
      </c>
      <c r="AO6" s="16">
        <v>0</v>
      </c>
      <c r="AP6" s="16">
        <v>0</v>
      </c>
      <c r="AQ6" s="16">
        <v>0</v>
      </c>
      <c r="AT6" s="13" t="s">
        <v>209</v>
      </c>
      <c r="AU6" s="19">
        <f t="shared" ref="AU6:AU7" si="5">SUM(AW6,AY6,BA6,BC6,BE6,BG6)</f>
        <v>20</v>
      </c>
      <c r="AV6" s="19">
        <f t="shared" si="2"/>
        <v>0</v>
      </c>
      <c r="AW6" s="38">
        <v>0</v>
      </c>
      <c r="AX6" s="38">
        <v>0</v>
      </c>
      <c r="AY6" s="38">
        <v>18</v>
      </c>
      <c r="AZ6" s="38">
        <v>0</v>
      </c>
      <c r="BA6" s="38">
        <v>2</v>
      </c>
      <c r="BB6" s="38">
        <v>0</v>
      </c>
      <c r="BC6" s="38">
        <v>0</v>
      </c>
      <c r="BD6" s="38">
        <v>0</v>
      </c>
      <c r="BE6" s="38">
        <v>0</v>
      </c>
      <c r="BF6" s="38">
        <v>0</v>
      </c>
      <c r="BG6" s="38">
        <v>0</v>
      </c>
      <c r="BH6" s="38">
        <v>0</v>
      </c>
    </row>
    <row r="7" spans="1:60" ht="27" customHeight="1" thickBot="1" x14ac:dyDescent="0.3">
      <c r="A7" s="12" t="s">
        <v>128</v>
      </c>
      <c r="B7" s="20">
        <f t="shared" ref="B7:C13" si="6">SUM(D7,F7,H7,J7,L7,N7)</f>
        <v>8</v>
      </c>
      <c r="C7" s="49">
        <f t="shared" si="6"/>
        <v>0</v>
      </c>
      <c r="D7" s="5">
        <v>3</v>
      </c>
      <c r="E7" s="48">
        <v>0</v>
      </c>
      <c r="F7" s="5">
        <v>5</v>
      </c>
      <c r="G7" s="48">
        <v>0</v>
      </c>
      <c r="H7" s="5">
        <v>0</v>
      </c>
      <c r="I7" s="48">
        <v>0</v>
      </c>
      <c r="J7" s="5">
        <v>0</v>
      </c>
      <c r="K7" s="48">
        <v>0</v>
      </c>
      <c r="L7" s="5">
        <v>0</v>
      </c>
      <c r="M7" s="48">
        <v>0</v>
      </c>
      <c r="N7" s="5">
        <v>0</v>
      </c>
      <c r="O7" s="48">
        <v>0</v>
      </c>
      <c r="AA7" s="22" t="s">
        <v>225</v>
      </c>
      <c r="AC7" s="12" t="s">
        <v>165</v>
      </c>
      <c r="AD7" s="21">
        <f t="shared" si="3"/>
        <v>0</v>
      </c>
      <c r="AE7" s="21">
        <f t="shared" si="4"/>
        <v>0</v>
      </c>
      <c r="AF7" s="16">
        <v>0</v>
      </c>
      <c r="AG7" s="16">
        <v>0</v>
      </c>
      <c r="AH7" s="16">
        <v>0</v>
      </c>
      <c r="AI7" s="16">
        <v>0</v>
      </c>
      <c r="AJ7" s="16">
        <v>0</v>
      </c>
      <c r="AK7" s="16">
        <v>0</v>
      </c>
      <c r="AL7" s="16">
        <v>0</v>
      </c>
      <c r="AM7" s="16">
        <v>0</v>
      </c>
      <c r="AN7" s="16">
        <v>0</v>
      </c>
      <c r="AO7" s="16">
        <v>0</v>
      </c>
      <c r="AP7" s="16">
        <v>0</v>
      </c>
      <c r="AQ7" s="16">
        <v>0</v>
      </c>
      <c r="AT7" s="13" t="s">
        <v>210</v>
      </c>
      <c r="AU7" s="19">
        <f t="shared" si="5"/>
        <v>0</v>
      </c>
      <c r="AV7" s="19">
        <f t="shared" si="2"/>
        <v>0</v>
      </c>
      <c r="AW7" s="38">
        <v>0</v>
      </c>
      <c r="AX7" s="38">
        <v>0</v>
      </c>
      <c r="AY7" s="38">
        <v>0</v>
      </c>
      <c r="AZ7" s="38">
        <v>0</v>
      </c>
      <c r="BA7" s="38">
        <v>0</v>
      </c>
      <c r="BB7" s="38">
        <v>0</v>
      </c>
      <c r="BC7" s="38">
        <v>0</v>
      </c>
      <c r="BD7" s="38">
        <v>0</v>
      </c>
      <c r="BE7" s="38">
        <v>0</v>
      </c>
      <c r="BF7" s="38">
        <v>0</v>
      </c>
      <c r="BG7" s="38">
        <v>0</v>
      </c>
      <c r="BH7" s="38">
        <v>0</v>
      </c>
    </row>
    <row r="8" spans="1:60" ht="27" customHeight="1" thickBot="1" x14ac:dyDescent="0.3">
      <c r="A8" s="4" t="s">
        <v>129</v>
      </c>
      <c r="B8" s="20">
        <f t="shared" si="6"/>
        <v>0</v>
      </c>
      <c r="C8" s="49">
        <f t="shared" si="6"/>
        <v>0</v>
      </c>
      <c r="D8" s="5">
        <v>0</v>
      </c>
      <c r="E8" s="48">
        <v>0</v>
      </c>
      <c r="F8" s="5">
        <v>0</v>
      </c>
      <c r="G8" s="48">
        <v>0</v>
      </c>
      <c r="H8" s="5">
        <v>0</v>
      </c>
      <c r="I8" s="48">
        <v>0</v>
      </c>
      <c r="J8" s="5">
        <v>0</v>
      </c>
      <c r="K8" s="48">
        <v>0</v>
      </c>
      <c r="L8" s="5">
        <v>0</v>
      </c>
      <c r="M8" s="48">
        <v>0</v>
      </c>
      <c r="N8" s="5">
        <v>0</v>
      </c>
      <c r="O8" s="48">
        <v>0</v>
      </c>
      <c r="AC8" s="13" t="s">
        <v>166</v>
      </c>
      <c r="AD8" s="19">
        <f t="shared" si="3"/>
        <v>3</v>
      </c>
      <c r="AE8" s="19">
        <f t="shared" si="4"/>
        <v>0</v>
      </c>
      <c r="AF8" s="19">
        <f>SUM(AF9:AF12)</f>
        <v>0</v>
      </c>
      <c r="AG8" s="19">
        <f>SUM(AG9:AG12)</f>
        <v>0</v>
      </c>
      <c r="AH8" s="19">
        <f t="shared" ref="AH8:AQ8" si="7">SUM(AH9:AH12)</f>
        <v>3</v>
      </c>
      <c r="AI8" s="19">
        <f t="shared" si="7"/>
        <v>0</v>
      </c>
      <c r="AJ8" s="19">
        <f t="shared" si="7"/>
        <v>0</v>
      </c>
      <c r="AK8" s="19">
        <f t="shared" si="7"/>
        <v>0</v>
      </c>
      <c r="AL8" s="19">
        <f t="shared" si="7"/>
        <v>0</v>
      </c>
      <c r="AM8" s="19">
        <f t="shared" si="7"/>
        <v>0</v>
      </c>
      <c r="AN8" s="19">
        <f t="shared" si="7"/>
        <v>0</v>
      </c>
      <c r="AO8" s="19">
        <f t="shared" si="7"/>
        <v>0</v>
      </c>
      <c r="AP8" s="19">
        <f t="shared" si="7"/>
        <v>0</v>
      </c>
      <c r="AQ8" s="19">
        <f t="shared" si="7"/>
        <v>0</v>
      </c>
      <c r="AT8" s="33" t="s">
        <v>13</v>
      </c>
      <c r="AU8" s="33">
        <f>SUM(AU2,AU5:AU7)</f>
        <v>21</v>
      </c>
      <c r="AV8" s="33">
        <f t="shared" ref="AV8:BH8" si="8">SUM(AV2,AV5:AV7)</f>
        <v>0</v>
      </c>
      <c r="AW8" s="33">
        <f t="shared" si="8"/>
        <v>0</v>
      </c>
      <c r="AX8" s="33">
        <f t="shared" si="8"/>
        <v>0</v>
      </c>
      <c r="AY8" s="33">
        <f t="shared" si="8"/>
        <v>19</v>
      </c>
      <c r="AZ8" s="33">
        <f t="shared" si="8"/>
        <v>0</v>
      </c>
      <c r="BA8" s="33">
        <f t="shared" si="8"/>
        <v>2</v>
      </c>
      <c r="BB8" s="33">
        <f t="shared" si="8"/>
        <v>0</v>
      </c>
      <c r="BC8" s="33">
        <f t="shared" si="8"/>
        <v>0</v>
      </c>
      <c r="BD8" s="33">
        <f t="shared" si="8"/>
        <v>0</v>
      </c>
      <c r="BE8" s="33">
        <f t="shared" si="8"/>
        <v>0</v>
      </c>
      <c r="BF8" s="33">
        <f t="shared" si="8"/>
        <v>0</v>
      </c>
      <c r="BG8" s="33">
        <f t="shared" si="8"/>
        <v>0</v>
      </c>
      <c r="BH8" s="33">
        <f t="shared" si="8"/>
        <v>0</v>
      </c>
    </row>
    <row r="9" spans="1:60" ht="27" customHeight="1" thickBot="1" x14ac:dyDescent="0.3">
      <c r="A9" s="12" t="s">
        <v>130</v>
      </c>
      <c r="B9" s="20">
        <f t="shared" si="6"/>
        <v>0</v>
      </c>
      <c r="C9" s="49">
        <f t="shared" si="6"/>
        <v>0</v>
      </c>
      <c r="D9" s="5">
        <v>0</v>
      </c>
      <c r="E9" s="48">
        <v>0</v>
      </c>
      <c r="F9" s="5">
        <v>0</v>
      </c>
      <c r="G9" s="48">
        <v>0</v>
      </c>
      <c r="H9" s="5">
        <v>0</v>
      </c>
      <c r="I9" s="48">
        <v>0</v>
      </c>
      <c r="J9" s="5">
        <v>0</v>
      </c>
      <c r="K9" s="48">
        <v>0</v>
      </c>
      <c r="L9" s="5">
        <v>0</v>
      </c>
      <c r="M9" s="48">
        <v>0</v>
      </c>
      <c r="N9" s="5">
        <v>0</v>
      </c>
      <c r="O9" s="48">
        <v>0</v>
      </c>
      <c r="AC9" s="12" t="s">
        <v>167</v>
      </c>
      <c r="AD9" s="21">
        <f t="shared" si="3"/>
        <v>1</v>
      </c>
      <c r="AE9" s="21">
        <f t="shared" si="4"/>
        <v>0</v>
      </c>
      <c r="AF9" s="16">
        <v>0</v>
      </c>
      <c r="AG9" s="16">
        <v>0</v>
      </c>
      <c r="AH9" s="16">
        <v>1</v>
      </c>
      <c r="AI9" s="16">
        <v>0</v>
      </c>
      <c r="AJ9" s="16">
        <v>0</v>
      </c>
      <c r="AK9" s="16">
        <v>0</v>
      </c>
      <c r="AL9" s="16">
        <v>0</v>
      </c>
      <c r="AM9" s="16">
        <v>0</v>
      </c>
      <c r="AN9" s="16">
        <v>0</v>
      </c>
      <c r="AO9" s="16">
        <v>0</v>
      </c>
      <c r="AP9" s="16">
        <v>0</v>
      </c>
      <c r="AQ9" s="16">
        <v>0</v>
      </c>
    </row>
    <row r="10" spans="1:60" ht="27" customHeight="1" thickBot="1" x14ac:dyDescent="0.3">
      <c r="A10" s="4" t="s">
        <v>131</v>
      </c>
      <c r="B10" s="20">
        <f t="shared" si="6"/>
        <v>30</v>
      </c>
      <c r="C10" s="49">
        <f t="shared" si="6"/>
        <v>0</v>
      </c>
      <c r="D10" s="5">
        <v>5</v>
      </c>
      <c r="E10" s="48">
        <v>0</v>
      </c>
      <c r="F10" s="5">
        <v>25</v>
      </c>
      <c r="G10" s="48">
        <v>0</v>
      </c>
      <c r="H10" s="5">
        <v>0</v>
      </c>
      <c r="I10" s="48">
        <v>0</v>
      </c>
      <c r="J10" s="5">
        <v>0</v>
      </c>
      <c r="K10" s="48">
        <v>0</v>
      </c>
      <c r="L10" s="5">
        <v>0</v>
      </c>
      <c r="M10" s="48">
        <v>0</v>
      </c>
      <c r="N10" s="5">
        <v>0</v>
      </c>
      <c r="O10" s="48">
        <v>0</v>
      </c>
      <c r="AC10" s="12" t="s">
        <v>168</v>
      </c>
      <c r="AD10" s="21">
        <f t="shared" si="3"/>
        <v>2</v>
      </c>
      <c r="AE10" s="21">
        <f t="shared" si="4"/>
        <v>0</v>
      </c>
      <c r="AF10" s="16">
        <v>0</v>
      </c>
      <c r="AG10" s="16">
        <v>0</v>
      </c>
      <c r="AH10" s="16">
        <v>2</v>
      </c>
      <c r="AI10" s="16">
        <v>0</v>
      </c>
      <c r="AJ10" s="16">
        <v>0</v>
      </c>
      <c r="AK10" s="16">
        <v>0</v>
      </c>
      <c r="AL10" s="16">
        <v>0</v>
      </c>
      <c r="AM10" s="16">
        <v>0</v>
      </c>
      <c r="AN10" s="16">
        <v>0</v>
      </c>
      <c r="AO10" s="16">
        <v>0</v>
      </c>
      <c r="AP10" s="16">
        <v>0</v>
      </c>
      <c r="AQ10" s="16">
        <v>0</v>
      </c>
    </row>
    <row r="11" spans="1:60" ht="27" customHeight="1" thickBot="1" x14ac:dyDescent="0.3">
      <c r="A11" s="4" t="s">
        <v>132</v>
      </c>
      <c r="B11" s="20">
        <f t="shared" si="6"/>
        <v>9</v>
      </c>
      <c r="C11" s="49">
        <f t="shared" si="6"/>
        <v>0</v>
      </c>
      <c r="D11" s="5">
        <v>6</v>
      </c>
      <c r="E11" s="48">
        <v>0</v>
      </c>
      <c r="F11" s="5">
        <v>3</v>
      </c>
      <c r="G11" s="48">
        <v>0</v>
      </c>
      <c r="H11" s="5">
        <v>0</v>
      </c>
      <c r="I11" s="48">
        <v>0</v>
      </c>
      <c r="J11" s="5">
        <v>0</v>
      </c>
      <c r="K11" s="48">
        <v>0</v>
      </c>
      <c r="L11" s="5">
        <v>0</v>
      </c>
      <c r="M11" s="48">
        <v>0</v>
      </c>
      <c r="N11" s="5">
        <v>0</v>
      </c>
      <c r="O11" s="48">
        <v>0</v>
      </c>
      <c r="AC11" s="12" t="s">
        <v>169</v>
      </c>
      <c r="AD11" s="21">
        <f t="shared" si="3"/>
        <v>0</v>
      </c>
      <c r="AE11" s="21">
        <f t="shared" si="4"/>
        <v>0</v>
      </c>
      <c r="AF11" s="16">
        <v>0</v>
      </c>
      <c r="AG11" s="16">
        <v>0</v>
      </c>
      <c r="AH11" s="16">
        <v>0</v>
      </c>
      <c r="AI11" s="16">
        <v>0</v>
      </c>
      <c r="AJ11" s="16">
        <v>0</v>
      </c>
      <c r="AK11" s="16">
        <v>0</v>
      </c>
      <c r="AL11" s="16">
        <v>0</v>
      </c>
      <c r="AM11" s="16">
        <v>0</v>
      </c>
      <c r="AN11" s="16">
        <v>0</v>
      </c>
      <c r="AO11" s="16">
        <v>0</v>
      </c>
      <c r="AP11" s="16">
        <v>0</v>
      </c>
      <c r="AQ11" s="16">
        <v>0</v>
      </c>
    </row>
    <row r="12" spans="1:60" ht="27" customHeight="1" thickBot="1" x14ac:dyDescent="0.3">
      <c r="A12" s="4" t="s">
        <v>133</v>
      </c>
      <c r="B12" s="20">
        <f t="shared" si="6"/>
        <v>17</v>
      </c>
      <c r="C12" s="49">
        <f t="shared" si="6"/>
        <v>0</v>
      </c>
      <c r="D12" s="5">
        <v>12</v>
      </c>
      <c r="E12" s="48">
        <v>0</v>
      </c>
      <c r="F12" s="5">
        <v>5</v>
      </c>
      <c r="G12" s="48">
        <v>0</v>
      </c>
      <c r="H12" s="5">
        <v>0</v>
      </c>
      <c r="I12" s="48">
        <v>0</v>
      </c>
      <c r="J12" s="5">
        <v>0</v>
      </c>
      <c r="K12" s="48">
        <v>0</v>
      </c>
      <c r="L12" s="5">
        <v>0</v>
      </c>
      <c r="M12" s="48">
        <v>0</v>
      </c>
      <c r="N12" s="5">
        <v>0</v>
      </c>
      <c r="O12" s="48">
        <v>0</v>
      </c>
      <c r="AC12" s="12" t="s">
        <v>214</v>
      </c>
      <c r="AD12" s="21">
        <f t="shared" si="3"/>
        <v>0</v>
      </c>
      <c r="AE12" s="21">
        <f t="shared" si="4"/>
        <v>0</v>
      </c>
      <c r="AF12" s="16">
        <v>0</v>
      </c>
      <c r="AG12" s="16">
        <v>0</v>
      </c>
      <c r="AH12" s="16">
        <v>0</v>
      </c>
      <c r="AI12" s="16">
        <v>0</v>
      </c>
      <c r="AJ12" s="16">
        <v>0</v>
      </c>
      <c r="AK12" s="16">
        <v>0</v>
      </c>
      <c r="AL12" s="16">
        <v>0</v>
      </c>
      <c r="AM12" s="16">
        <v>0</v>
      </c>
      <c r="AN12" s="16">
        <v>0</v>
      </c>
      <c r="AO12" s="16">
        <v>0</v>
      </c>
      <c r="AP12" s="16">
        <v>0</v>
      </c>
      <c r="AQ12" s="16">
        <v>0</v>
      </c>
    </row>
    <row r="13" spans="1:60" ht="39" thickBot="1" x14ac:dyDescent="0.3">
      <c r="A13" s="4" t="s">
        <v>134</v>
      </c>
      <c r="B13" s="20">
        <f t="shared" si="6"/>
        <v>0</v>
      </c>
      <c r="C13" s="49">
        <f t="shared" si="6"/>
        <v>0</v>
      </c>
      <c r="D13" s="5">
        <v>0</v>
      </c>
      <c r="E13" s="48">
        <v>0</v>
      </c>
      <c r="F13" s="5">
        <v>0</v>
      </c>
      <c r="G13" s="48">
        <v>0</v>
      </c>
      <c r="H13" s="5">
        <v>0</v>
      </c>
      <c r="I13" s="48">
        <v>0</v>
      </c>
      <c r="J13" s="5">
        <v>0</v>
      </c>
      <c r="K13" s="48">
        <v>0</v>
      </c>
      <c r="L13" s="5">
        <v>0</v>
      </c>
      <c r="M13" s="48">
        <v>0</v>
      </c>
      <c r="N13" s="5">
        <v>0</v>
      </c>
      <c r="O13" s="48">
        <v>0</v>
      </c>
      <c r="AC13" s="13" t="s">
        <v>170</v>
      </c>
      <c r="AD13" s="19">
        <f>SUM(AF13,AH13,AJ13,AL13,AN13,AP13)</f>
        <v>36</v>
      </c>
      <c r="AE13" s="19">
        <f t="shared" si="4"/>
        <v>0</v>
      </c>
      <c r="AF13" s="19">
        <f>SUM(AF14:AF30)</f>
        <v>2</v>
      </c>
      <c r="AG13" s="19">
        <f t="shared" ref="AG13:AQ13" si="9">SUM(AG14:AG30)</f>
        <v>0</v>
      </c>
      <c r="AH13" s="19">
        <f t="shared" si="9"/>
        <v>24</v>
      </c>
      <c r="AI13" s="19">
        <f t="shared" si="9"/>
        <v>0</v>
      </c>
      <c r="AJ13" s="19">
        <f t="shared" si="9"/>
        <v>4</v>
      </c>
      <c r="AK13" s="19">
        <f t="shared" si="9"/>
        <v>0</v>
      </c>
      <c r="AL13" s="19">
        <f t="shared" si="9"/>
        <v>6</v>
      </c>
      <c r="AM13" s="19">
        <f t="shared" si="9"/>
        <v>0</v>
      </c>
      <c r="AN13" s="19">
        <f t="shared" si="9"/>
        <v>0</v>
      </c>
      <c r="AO13" s="19">
        <f t="shared" si="9"/>
        <v>0</v>
      </c>
      <c r="AP13" s="19">
        <f t="shared" si="9"/>
        <v>0</v>
      </c>
      <c r="AQ13" s="19">
        <f t="shared" si="9"/>
        <v>0</v>
      </c>
    </row>
    <row r="14" spans="1:60" s="23" customFormat="1" ht="39" thickBot="1" x14ac:dyDescent="0.3">
      <c r="A14" s="13" t="s">
        <v>135</v>
      </c>
      <c r="B14" s="19">
        <f>SUM(D14,F14,H14,J14,L14,N14)</f>
        <v>83</v>
      </c>
      <c r="C14" s="19">
        <f t="shared" ref="B14:C39" si="10">SUM(E14,G14,I14,K14,M14,O14)</f>
        <v>0</v>
      </c>
      <c r="D14" s="19">
        <f>SUM(D15:D21)</f>
        <v>28</v>
      </c>
      <c r="E14" s="19">
        <f t="shared" ref="E14:O14" si="11">SUM(E15:E21)</f>
        <v>0</v>
      </c>
      <c r="F14" s="19">
        <f>SUM(F15:F21)</f>
        <v>48</v>
      </c>
      <c r="G14" s="19">
        <f t="shared" si="11"/>
        <v>0</v>
      </c>
      <c r="H14" s="19">
        <f t="shared" si="11"/>
        <v>0</v>
      </c>
      <c r="I14" s="19">
        <f t="shared" si="11"/>
        <v>0</v>
      </c>
      <c r="J14" s="19">
        <f>SUM(J15:J21)</f>
        <v>7</v>
      </c>
      <c r="K14" s="19">
        <f t="shared" si="11"/>
        <v>0</v>
      </c>
      <c r="L14" s="19">
        <f t="shared" si="11"/>
        <v>0</v>
      </c>
      <c r="M14" s="19">
        <f t="shared" si="11"/>
        <v>0</v>
      </c>
      <c r="N14" s="19">
        <f t="shared" si="11"/>
        <v>0</v>
      </c>
      <c r="O14" s="19">
        <f t="shared" si="11"/>
        <v>0</v>
      </c>
      <c r="AC14" s="12" t="s">
        <v>187</v>
      </c>
      <c r="AD14" s="21">
        <f t="shared" ref="AD14:AD35" si="12">SUM(AF14,AH14,AJ14,AL14,AN14,AP14)</f>
        <v>9</v>
      </c>
      <c r="AE14" s="21">
        <f t="shared" si="4"/>
        <v>0</v>
      </c>
      <c r="AF14" s="16">
        <v>0</v>
      </c>
      <c r="AG14" s="50">
        <v>0</v>
      </c>
      <c r="AH14" s="16">
        <v>7</v>
      </c>
      <c r="AI14" s="50">
        <v>0</v>
      </c>
      <c r="AJ14" s="16">
        <v>1</v>
      </c>
      <c r="AK14" s="50">
        <v>0</v>
      </c>
      <c r="AL14" s="16">
        <v>1</v>
      </c>
      <c r="AM14" s="50">
        <v>0</v>
      </c>
      <c r="AN14" s="16">
        <v>0</v>
      </c>
      <c r="AO14" s="50">
        <v>0</v>
      </c>
      <c r="AP14" s="16">
        <v>0</v>
      </c>
      <c r="AQ14" s="50">
        <v>0</v>
      </c>
    </row>
    <row r="15" spans="1:60" ht="51.75" thickBot="1" x14ac:dyDescent="0.3">
      <c r="A15" s="4" t="s">
        <v>136</v>
      </c>
      <c r="B15" s="20">
        <f t="shared" si="10"/>
        <v>19</v>
      </c>
      <c r="C15" s="49">
        <f t="shared" si="10"/>
        <v>0</v>
      </c>
      <c r="D15" s="5">
        <v>7</v>
      </c>
      <c r="E15" s="48">
        <v>0</v>
      </c>
      <c r="F15" s="5">
        <v>11</v>
      </c>
      <c r="G15" s="48">
        <v>0</v>
      </c>
      <c r="H15" s="5">
        <v>0</v>
      </c>
      <c r="I15" s="48">
        <v>0</v>
      </c>
      <c r="J15" s="5">
        <v>1</v>
      </c>
      <c r="K15" s="48">
        <v>0</v>
      </c>
      <c r="L15" s="5">
        <v>0</v>
      </c>
      <c r="M15" s="48">
        <v>0</v>
      </c>
      <c r="N15" s="5">
        <v>0</v>
      </c>
      <c r="O15" s="48">
        <v>0</v>
      </c>
      <c r="X15" s="22" t="s">
        <v>224</v>
      </c>
      <c r="AC15" s="12" t="s">
        <v>186</v>
      </c>
      <c r="AD15" s="21">
        <f t="shared" si="12"/>
        <v>0</v>
      </c>
      <c r="AE15" s="21">
        <f t="shared" si="4"/>
        <v>0</v>
      </c>
      <c r="AF15" s="16">
        <v>0</v>
      </c>
      <c r="AG15" s="50">
        <v>0</v>
      </c>
      <c r="AH15" s="16">
        <v>0</v>
      </c>
      <c r="AI15" s="50">
        <v>0</v>
      </c>
      <c r="AJ15" s="16">
        <v>0</v>
      </c>
      <c r="AK15" s="50">
        <v>0</v>
      </c>
      <c r="AL15" s="16">
        <v>0</v>
      </c>
      <c r="AM15" s="50">
        <v>0</v>
      </c>
      <c r="AN15" s="16">
        <v>0</v>
      </c>
      <c r="AO15" s="50">
        <v>0</v>
      </c>
      <c r="AP15" s="16">
        <v>0</v>
      </c>
      <c r="AQ15" s="50">
        <v>0</v>
      </c>
    </row>
    <row r="16" spans="1:60" ht="64.5" thickBot="1" x14ac:dyDescent="0.3">
      <c r="A16" s="4" t="s">
        <v>138</v>
      </c>
      <c r="B16" s="20">
        <f t="shared" si="10"/>
        <v>1</v>
      </c>
      <c r="C16" s="49">
        <f t="shared" si="10"/>
        <v>0</v>
      </c>
      <c r="D16" s="5">
        <v>0</v>
      </c>
      <c r="E16" s="48">
        <v>0</v>
      </c>
      <c r="F16" s="5">
        <v>1</v>
      </c>
      <c r="G16" s="48">
        <v>0</v>
      </c>
      <c r="H16" s="5">
        <v>0</v>
      </c>
      <c r="I16" s="48">
        <v>0</v>
      </c>
      <c r="J16" s="5">
        <v>0</v>
      </c>
      <c r="K16" s="48">
        <v>0</v>
      </c>
      <c r="L16" s="5">
        <v>0</v>
      </c>
      <c r="M16" s="48">
        <v>0</v>
      </c>
      <c r="N16" s="5">
        <v>0</v>
      </c>
      <c r="O16" s="48">
        <v>0</v>
      </c>
      <c r="AC16" s="12" t="s">
        <v>171</v>
      </c>
      <c r="AD16" s="21">
        <f t="shared" si="12"/>
        <v>1</v>
      </c>
      <c r="AE16" s="21">
        <f t="shared" si="4"/>
        <v>0</v>
      </c>
      <c r="AF16" s="16">
        <v>0</v>
      </c>
      <c r="AG16" s="50">
        <v>0</v>
      </c>
      <c r="AH16" s="16">
        <v>1</v>
      </c>
      <c r="AI16" s="50">
        <v>0</v>
      </c>
      <c r="AJ16" s="16">
        <v>0</v>
      </c>
      <c r="AK16" s="50">
        <v>0</v>
      </c>
      <c r="AL16" s="16">
        <v>0</v>
      </c>
      <c r="AM16" s="50">
        <v>0</v>
      </c>
      <c r="AN16" s="16">
        <v>0</v>
      </c>
      <c r="AO16" s="50">
        <v>0</v>
      </c>
      <c r="AP16" s="16">
        <v>0</v>
      </c>
      <c r="AQ16" s="50">
        <v>0</v>
      </c>
    </row>
    <row r="17" spans="1:43" ht="39" thickBot="1" x14ac:dyDescent="0.3">
      <c r="A17" s="4" t="s">
        <v>139</v>
      </c>
      <c r="B17" s="20">
        <f t="shared" si="10"/>
        <v>1</v>
      </c>
      <c r="C17" s="49">
        <f t="shared" si="10"/>
        <v>0</v>
      </c>
      <c r="D17" s="5">
        <v>0</v>
      </c>
      <c r="E17" s="48">
        <v>0</v>
      </c>
      <c r="F17" s="5">
        <v>0</v>
      </c>
      <c r="G17" s="48">
        <v>0</v>
      </c>
      <c r="H17" s="5">
        <v>0</v>
      </c>
      <c r="I17" s="48">
        <v>0</v>
      </c>
      <c r="J17" s="5">
        <v>1</v>
      </c>
      <c r="K17" s="48">
        <v>0</v>
      </c>
      <c r="L17" s="5">
        <v>0</v>
      </c>
      <c r="M17" s="48">
        <v>0</v>
      </c>
      <c r="N17" s="5">
        <v>0</v>
      </c>
      <c r="O17" s="48">
        <v>0</v>
      </c>
      <c r="AC17" s="12" t="s">
        <v>172</v>
      </c>
      <c r="AD17" s="21">
        <f t="shared" si="12"/>
        <v>5</v>
      </c>
      <c r="AE17" s="21">
        <f t="shared" si="4"/>
        <v>0</v>
      </c>
      <c r="AF17" s="16">
        <v>0</v>
      </c>
      <c r="AG17" s="50">
        <v>0</v>
      </c>
      <c r="AH17" s="16">
        <v>1</v>
      </c>
      <c r="AI17" s="50">
        <v>0</v>
      </c>
      <c r="AJ17" s="16">
        <v>1</v>
      </c>
      <c r="AK17" s="50">
        <v>0</v>
      </c>
      <c r="AL17" s="16">
        <v>3</v>
      </c>
      <c r="AM17" s="50">
        <v>0</v>
      </c>
      <c r="AN17" s="16">
        <v>0</v>
      </c>
      <c r="AO17" s="50">
        <v>0</v>
      </c>
      <c r="AP17" s="16">
        <v>0</v>
      </c>
      <c r="AQ17" s="50">
        <v>0</v>
      </c>
    </row>
    <row r="18" spans="1:43" ht="51.75" thickBot="1" x14ac:dyDescent="0.3">
      <c r="A18" s="4" t="s">
        <v>140</v>
      </c>
      <c r="B18" s="20">
        <f t="shared" si="10"/>
        <v>0</v>
      </c>
      <c r="C18" s="49">
        <f t="shared" si="10"/>
        <v>0</v>
      </c>
      <c r="D18" s="5">
        <v>0</v>
      </c>
      <c r="E18" s="48">
        <v>0</v>
      </c>
      <c r="F18" s="5">
        <v>0</v>
      </c>
      <c r="G18" s="48">
        <v>0</v>
      </c>
      <c r="H18" s="5">
        <v>0</v>
      </c>
      <c r="I18" s="48">
        <v>0</v>
      </c>
      <c r="J18" s="5">
        <v>0</v>
      </c>
      <c r="K18" s="48">
        <v>0</v>
      </c>
      <c r="L18" s="5">
        <v>0</v>
      </c>
      <c r="M18" s="48">
        <v>0</v>
      </c>
      <c r="N18" s="5">
        <v>0</v>
      </c>
      <c r="O18" s="48">
        <v>0</v>
      </c>
      <c r="AC18" s="12" t="s">
        <v>173</v>
      </c>
      <c r="AD18" s="21">
        <f t="shared" si="12"/>
        <v>1</v>
      </c>
      <c r="AE18" s="21">
        <f t="shared" si="4"/>
        <v>0</v>
      </c>
      <c r="AF18" s="16">
        <v>0</v>
      </c>
      <c r="AG18" s="50">
        <v>0</v>
      </c>
      <c r="AH18" s="16">
        <v>0</v>
      </c>
      <c r="AI18" s="50">
        <v>0</v>
      </c>
      <c r="AJ18" s="16">
        <v>1</v>
      </c>
      <c r="AK18" s="50">
        <v>0</v>
      </c>
      <c r="AL18" s="16">
        <v>0</v>
      </c>
      <c r="AM18" s="50">
        <v>0</v>
      </c>
      <c r="AN18" s="16">
        <v>0</v>
      </c>
      <c r="AO18" s="50">
        <v>0</v>
      </c>
      <c r="AP18" s="16">
        <v>0</v>
      </c>
      <c r="AQ18" s="50">
        <v>0</v>
      </c>
    </row>
    <row r="19" spans="1:43" ht="39" thickBot="1" x14ac:dyDescent="0.3">
      <c r="A19" s="4" t="s">
        <v>141</v>
      </c>
      <c r="B19" s="20">
        <f t="shared" si="10"/>
        <v>2</v>
      </c>
      <c r="C19" s="49">
        <f t="shared" si="10"/>
        <v>0</v>
      </c>
      <c r="D19" s="5">
        <v>0</v>
      </c>
      <c r="E19" s="48">
        <v>0</v>
      </c>
      <c r="F19" s="5">
        <v>1</v>
      </c>
      <c r="G19" s="48">
        <v>0</v>
      </c>
      <c r="H19" s="5">
        <v>0</v>
      </c>
      <c r="I19" s="48">
        <v>0</v>
      </c>
      <c r="J19" s="5">
        <v>1</v>
      </c>
      <c r="K19" s="48">
        <v>0</v>
      </c>
      <c r="L19" s="5">
        <v>0</v>
      </c>
      <c r="M19" s="48">
        <v>0</v>
      </c>
      <c r="N19" s="5">
        <v>0</v>
      </c>
      <c r="O19" s="48">
        <v>0</v>
      </c>
      <c r="AC19" s="12" t="s">
        <v>174</v>
      </c>
      <c r="AD19" s="21">
        <f t="shared" si="12"/>
        <v>0</v>
      </c>
      <c r="AE19" s="21">
        <f t="shared" si="4"/>
        <v>0</v>
      </c>
      <c r="AF19" s="16">
        <v>0</v>
      </c>
      <c r="AG19" s="50">
        <v>0</v>
      </c>
      <c r="AH19" s="16">
        <v>0</v>
      </c>
      <c r="AI19" s="50">
        <v>0</v>
      </c>
      <c r="AJ19" s="16">
        <v>0</v>
      </c>
      <c r="AK19" s="50">
        <v>0</v>
      </c>
      <c r="AL19" s="16">
        <v>0</v>
      </c>
      <c r="AM19" s="50">
        <v>0</v>
      </c>
      <c r="AN19" s="16">
        <v>0</v>
      </c>
      <c r="AO19" s="50">
        <v>0</v>
      </c>
      <c r="AP19" s="16">
        <v>0</v>
      </c>
      <c r="AQ19" s="50">
        <v>0</v>
      </c>
    </row>
    <row r="20" spans="1:43" ht="30.75" customHeight="1" thickBot="1" x14ac:dyDescent="0.3">
      <c r="A20" s="4" t="s">
        <v>142</v>
      </c>
      <c r="B20" s="20">
        <f t="shared" si="10"/>
        <v>5</v>
      </c>
      <c r="C20" s="49">
        <f t="shared" si="10"/>
        <v>0</v>
      </c>
      <c r="D20" s="5">
        <v>5</v>
      </c>
      <c r="E20" s="48">
        <v>0</v>
      </c>
      <c r="F20" s="5">
        <v>0</v>
      </c>
      <c r="G20" s="48">
        <v>0</v>
      </c>
      <c r="H20" s="5">
        <v>0</v>
      </c>
      <c r="I20" s="48">
        <v>0</v>
      </c>
      <c r="J20" s="5">
        <v>0</v>
      </c>
      <c r="K20" s="48">
        <v>0</v>
      </c>
      <c r="L20" s="5">
        <v>0</v>
      </c>
      <c r="M20" s="48">
        <v>0</v>
      </c>
      <c r="N20" s="5">
        <v>0</v>
      </c>
      <c r="O20" s="48">
        <v>0</v>
      </c>
      <c r="AC20" s="12" t="s">
        <v>175</v>
      </c>
      <c r="AD20" s="21">
        <f t="shared" si="12"/>
        <v>2</v>
      </c>
      <c r="AE20" s="21">
        <f t="shared" si="4"/>
        <v>0</v>
      </c>
      <c r="AF20" s="16">
        <v>0</v>
      </c>
      <c r="AG20" s="50">
        <v>0</v>
      </c>
      <c r="AH20" s="16">
        <v>2</v>
      </c>
      <c r="AI20" s="50">
        <v>0</v>
      </c>
      <c r="AJ20" s="16">
        <v>0</v>
      </c>
      <c r="AK20" s="50">
        <v>0</v>
      </c>
      <c r="AL20" s="16">
        <v>0</v>
      </c>
      <c r="AM20" s="50">
        <v>0</v>
      </c>
      <c r="AN20" s="16">
        <v>0</v>
      </c>
      <c r="AO20" s="50">
        <v>0</v>
      </c>
      <c r="AP20" s="16">
        <v>0</v>
      </c>
      <c r="AQ20" s="50">
        <v>0</v>
      </c>
    </row>
    <row r="21" spans="1:43" ht="30.75" customHeight="1" thickBot="1" x14ac:dyDescent="0.3">
      <c r="A21" s="4" t="s">
        <v>137</v>
      </c>
      <c r="B21" s="20">
        <f t="shared" si="10"/>
        <v>55</v>
      </c>
      <c r="C21" s="49">
        <f t="shared" si="10"/>
        <v>0</v>
      </c>
      <c r="D21" s="5">
        <v>16</v>
      </c>
      <c r="E21" s="48">
        <v>0</v>
      </c>
      <c r="F21" s="5">
        <v>35</v>
      </c>
      <c r="G21" s="48">
        <v>0</v>
      </c>
      <c r="H21" s="5">
        <v>0</v>
      </c>
      <c r="I21" s="48">
        <v>0</v>
      </c>
      <c r="J21" s="5">
        <v>4</v>
      </c>
      <c r="K21" s="48">
        <v>0</v>
      </c>
      <c r="L21" s="5">
        <v>0</v>
      </c>
      <c r="M21" s="48">
        <v>0</v>
      </c>
      <c r="N21" s="5">
        <v>0</v>
      </c>
      <c r="O21" s="48">
        <v>0</v>
      </c>
      <c r="AC21" s="12" t="s">
        <v>176</v>
      </c>
      <c r="AD21" s="21">
        <f t="shared" si="12"/>
        <v>3</v>
      </c>
      <c r="AE21" s="21">
        <f t="shared" si="4"/>
        <v>0</v>
      </c>
      <c r="AF21" s="16">
        <v>0</v>
      </c>
      <c r="AG21" s="50">
        <v>0</v>
      </c>
      <c r="AH21" s="16">
        <v>3</v>
      </c>
      <c r="AI21" s="50">
        <v>0</v>
      </c>
      <c r="AJ21" s="16">
        <v>0</v>
      </c>
      <c r="AK21" s="50">
        <v>0</v>
      </c>
      <c r="AL21" s="16">
        <v>0</v>
      </c>
      <c r="AM21" s="50">
        <v>0</v>
      </c>
      <c r="AN21" s="16">
        <v>0</v>
      </c>
      <c r="AO21" s="50">
        <v>0</v>
      </c>
      <c r="AP21" s="16">
        <v>0</v>
      </c>
      <c r="AQ21" s="50">
        <v>0</v>
      </c>
    </row>
    <row r="22" spans="1:43" s="23" customFormat="1" ht="13.5" thickBot="1" x14ac:dyDescent="0.3">
      <c r="A22" s="13" t="s">
        <v>143</v>
      </c>
      <c r="B22" s="15">
        <f t="shared" si="10"/>
        <v>9</v>
      </c>
      <c r="C22" s="15">
        <f t="shared" si="10"/>
        <v>0</v>
      </c>
      <c r="D22" s="15">
        <f>SUM(D23:D25)</f>
        <v>0</v>
      </c>
      <c r="E22" s="15">
        <f t="shared" ref="E22:O22" si="13">SUM(E23:E25)</f>
        <v>0</v>
      </c>
      <c r="F22" s="15">
        <f t="shared" si="13"/>
        <v>7</v>
      </c>
      <c r="G22" s="15">
        <f t="shared" si="13"/>
        <v>0</v>
      </c>
      <c r="H22" s="15">
        <f t="shared" si="13"/>
        <v>1</v>
      </c>
      <c r="I22" s="15">
        <f t="shared" si="13"/>
        <v>0</v>
      </c>
      <c r="J22" s="15">
        <f t="shared" si="13"/>
        <v>1</v>
      </c>
      <c r="K22" s="15">
        <f t="shared" si="13"/>
        <v>0</v>
      </c>
      <c r="L22" s="15">
        <f t="shared" si="13"/>
        <v>0</v>
      </c>
      <c r="M22" s="15">
        <f t="shared" si="13"/>
        <v>0</v>
      </c>
      <c r="N22" s="15">
        <f t="shared" si="13"/>
        <v>0</v>
      </c>
      <c r="O22" s="15">
        <f t="shared" si="13"/>
        <v>0</v>
      </c>
      <c r="AC22" s="12" t="s">
        <v>177</v>
      </c>
      <c r="AD22" s="21">
        <f t="shared" si="12"/>
        <v>0</v>
      </c>
      <c r="AE22" s="21">
        <f t="shared" si="4"/>
        <v>0</v>
      </c>
      <c r="AF22" s="16">
        <v>0</v>
      </c>
      <c r="AG22" s="50">
        <v>0</v>
      </c>
      <c r="AH22" s="16">
        <v>0</v>
      </c>
      <c r="AI22" s="50">
        <v>0</v>
      </c>
      <c r="AJ22" s="16">
        <v>0</v>
      </c>
      <c r="AK22" s="50">
        <v>0</v>
      </c>
      <c r="AL22" s="16">
        <v>0</v>
      </c>
      <c r="AM22" s="50">
        <v>0</v>
      </c>
      <c r="AN22" s="16">
        <v>0</v>
      </c>
      <c r="AO22" s="50">
        <v>0</v>
      </c>
      <c r="AP22" s="16">
        <v>0</v>
      </c>
      <c r="AQ22" s="50">
        <v>0</v>
      </c>
    </row>
    <row r="23" spans="1:43" ht="30" customHeight="1" thickBot="1" x14ac:dyDescent="0.3">
      <c r="A23" s="4" t="s">
        <v>144</v>
      </c>
      <c r="B23" s="20">
        <f t="shared" si="10"/>
        <v>1</v>
      </c>
      <c r="C23" s="49">
        <f t="shared" si="10"/>
        <v>0</v>
      </c>
      <c r="D23" s="5">
        <v>0</v>
      </c>
      <c r="E23" s="48">
        <v>0</v>
      </c>
      <c r="F23" s="5">
        <v>1</v>
      </c>
      <c r="G23" s="48">
        <v>0</v>
      </c>
      <c r="H23" s="5">
        <v>0</v>
      </c>
      <c r="I23" s="48">
        <v>0</v>
      </c>
      <c r="J23" s="5">
        <v>0</v>
      </c>
      <c r="K23" s="48">
        <v>0</v>
      </c>
      <c r="L23" s="5">
        <v>0</v>
      </c>
      <c r="M23" s="48">
        <v>0</v>
      </c>
      <c r="N23" s="5">
        <v>0</v>
      </c>
      <c r="O23" s="48">
        <v>0</v>
      </c>
      <c r="AC23" s="12" t="s">
        <v>178</v>
      </c>
      <c r="AD23" s="21">
        <f t="shared" si="12"/>
        <v>0</v>
      </c>
      <c r="AE23" s="21">
        <f t="shared" si="4"/>
        <v>0</v>
      </c>
      <c r="AF23" s="16">
        <v>0</v>
      </c>
      <c r="AG23" s="50">
        <v>0</v>
      </c>
      <c r="AH23" s="16">
        <v>0</v>
      </c>
      <c r="AI23" s="50">
        <v>0</v>
      </c>
      <c r="AJ23" s="16">
        <v>0</v>
      </c>
      <c r="AK23" s="50">
        <v>0</v>
      </c>
      <c r="AL23" s="16">
        <v>0</v>
      </c>
      <c r="AM23" s="50">
        <v>0</v>
      </c>
      <c r="AN23" s="16">
        <v>0</v>
      </c>
      <c r="AO23" s="50">
        <v>0</v>
      </c>
      <c r="AP23" s="16">
        <v>0</v>
      </c>
      <c r="AQ23" s="50">
        <v>0</v>
      </c>
    </row>
    <row r="24" spans="1:43" ht="30" customHeight="1" thickBot="1" x14ac:dyDescent="0.3">
      <c r="A24" s="4" t="s">
        <v>146</v>
      </c>
      <c r="B24" s="20">
        <f t="shared" si="10"/>
        <v>8</v>
      </c>
      <c r="C24" s="49">
        <f>SUM(E24,G24,I24,K24,M24,O24)</f>
        <v>0</v>
      </c>
      <c r="D24" s="5">
        <v>0</v>
      </c>
      <c r="E24" s="48">
        <v>0</v>
      </c>
      <c r="F24" s="5">
        <v>6</v>
      </c>
      <c r="G24" s="48">
        <v>0</v>
      </c>
      <c r="H24" s="5">
        <v>1</v>
      </c>
      <c r="I24" s="48">
        <v>0</v>
      </c>
      <c r="J24" s="5">
        <v>1</v>
      </c>
      <c r="K24" s="48">
        <v>0</v>
      </c>
      <c r="L24" s="5">
        <v>0</v>
      </c>
      <c r="M24" s="48">
        <v>0</v>
      </c>
      <c r="N24" s="5">
        <v>0</v>
      </c>
      <c r="O24" s="48">
        <v>0</v>
      </c>
      <c r="AC24" s="12" t="s">
        <v>179</v>
      </c>
      <c r="AD24" s="21">
        <f t="shared" si="12"/>
        <v>1</v>
      </c>
      <c r="AE24" s="21">
        <f t="shared" si="4"/>
        <v>0</v>
      </c>
      <c r="AF24" s="16">
        <v>0</v>
      </c>
      <c r="AG24" s="50">
        <v>0</v>
      </c>
      <c r="AH24" s="16">
        <v>1</v>
      </c>
      <c r="AI24" s="50">
        <v>0</v>
      </c>
      <c r="AJ24" s="16">
        <v>0</v>
      </c>
      <c r="AK24" s="50">
        <v>0</v>
      </c>
      <c r="AL24" s="16">
        <v>0</v>
      </c>
      <c r="AM24" s="50">
        <v>0</v>
      </c>
      <c r="AN24" s="16">
        <v>0</v>
      </c>
      <c r="AO24" s="50">
        <v>0</v>
      </c>
      <c r="AP24" s="16">
        <v>0</v>
      </c>
      <c r="AQ24" s="50">
        <v>0</v>
      </c>
    </row>
    <row r="25" spans="1:43" ht="30" customHeight="1" thickBot="1" x14ac:dyDescent="0.3">
      <c r="A25" s="12" t="s">
        <v>145</v>
      </c>
      <c r="B25" s="20">
        <f t="shared" si="10"/>
        <v>0</v>
      </c>
      <c r="C25" s="49">
        <f t="shared" si="10"/>
        <v>0</v>
      </c>
      <c r="D25" s="5">
        <v>0</v>
      </c>
      <c r="E25" s="48">
        <v>0</v>
      </c>
      <c r="F25" s="5">
        <v>0</v>
      </c>
      <c r="G25" s="48">
        <v>0</v>
      </c>
      <c r="H25" s="5">
        <v>0</v>
      </c>
      <c r="I25" s="48">
        <v>0</v>
      </c>
      <c r="J25" s="5">
        <v>0</v>
      </c>
      <c r="K25" s="48">
        <v>0</v>
      </c>
      <c r="L25" s="5">
        <v>0</v>
      </c>
      <c r="M25" s="48">
        <v>0</v>
      </c>
      <c r="N25" s="5">
        <v>0</v>
      </c>
      <c r="O25" s="48">
        <v>0</v>
      </c>
      <c r="AC25" s="12" t="s">
        <v>180</v>
      </c>
      <c r="AD25" s="21">
        <f t="shared" si="12"/>
        <v>0</v>
      </c>
      <c r="AE25" s="21">
        <f t="shared" si="4"/>
        <v>0</v>
      </c>
      <c r="AF25" s="16">
        <v>0</v>
      </c>
      <c r="AG25" s="50">
        <v>0</v>
      </c>
      <c r="AH25" s="16">
        <v>0</v>
      </c>
      <c r="AI25" s="50">
        <v>0</v>
      </c>
      <c r="AJ25" s="16">
        <v>0</v>
      </c>
      <c r="AK25" s="50">
        <v>0</v>
      </c>
      <c r="AL25" s="16">
        <v>0</v>
      </c>
      <c r="AM25" s="50">
        <v>0</v>
      </c>
      <c r="AN25" s="16">
        <v>0</v>
      </c>
      <c r="AO25" s="50">
        <v>0</v>
      </c>
      <c r="AP25" s="16">
        <v>0</v>
      </c>
      <c r="AQ25" s="50">
        <v>0</v>
      </c>
    </row>
    <row r="26" spans="1:43" s="23" customFormat="1" ht="26.25" thickBot="1" x14ac:dyDescent="0.3">
      <c r="A26" s="13" t="s">
        <v>147</v>
      </c>
      <c r="B26" s="15">
        <f t="shared" si="10"/>
        <v>0</v>
      </c>
      <c r="C26" s="15">
        <f t="shared" si="10"/>
        <v>0</v>
      </c>
      <c r="D26" s="15">
        <f>SUM(D27:D29)</f>
        <v>0</v>
      </c>
      <c r="E26" s="15">
        <f t="shared" ref="E26:O26" si="14">SUM(E27:E29)</f>
        <v>0</v>
      </c>
      <c r="F26" s="15">
        <f t="shared" si="14"/>
        <v>0</v>
      </c>
      <c r="G26" s="15">
        <f t="shared" si="14"/>
        <v>0</v>
      </c>
      <c r="H26" s="15">
        <f t="shared" si="14"/>
        <v>0</v>
      </c>
      <c r="I26" s="15">
        <f t="shared" si="14"/>
        <v>0</v>
      </c>
      <c r="J26" s="15">
        <f t="shared" si="14"/>
        <v>0</v>
      </c>
      <c r="K26" s="15">
        <f t="shared" si="14"/>
        <v>0</v>
      </c>
      <c r="L26" s="15">
        <f t="shared" si="14"/>
        <v>0</v>
      </c>
      <c r="M26" s="15">
        <f t="shared" si="14"/>
        <v>0</v>
      </c>
      <c r="N26" s="15">
        <f t="shared" si="14"/>
        <v>0</v>
      </c>
      <c r="O26" s="15">
        <f t="shared" si="14"/>
        <v>0</v>
      </c>
      <c r="AC26" s="12" t="s">
        <v>181</v>
      </c>
      <c r="AD26" s="21">
        <f t="shared" si="12"/>
        <v>0</v>
      </c>
      <c r="AE26" s="21">
        <f t="shared" si="4"/>
        <v>0</v>
      </c>
      <c r="AF26" s="16">
        <v>0</v>
      </c>
      <c r="AG26" s="50">
        <v>0</v>
      </c>
      <c r="AH26" s="16">
        <v>0</v>
      </c>
      <c r="AI26" s="50">
        <v>0</v>
      </c>
      <c r="AJ26" s="16">
        <v>0</v>
      </c>
      <c r="AK26" s="50">
        <v>0</v>
      </c>
      <c r="AL26" s="16">
        <v>0</v>
      </c>
      <c r="AM26" s="50">
        <v>0</v>
      </c>
      <c r="AN26" s="16">
        <v>0</v>
      </c>
      <c r="AO26" s="50">
        <v>0</v>
      </c>
      <c r="AP26" s="16">
        <v>0</v>
      </c>
      <c r="AQ26" s="50">
        <v>0</v>
      </c>
    </row>
    <row r="27" spans="1:43" ht="32.25" customHeight="1" thickBot="1" x14ac:dyDescent="0.3">
      <c r="A27" s="4" t="s">
        <v>149</v>
      </c>
      <c r="B27" s="20">
        <f t="shared" si="10"/>
        <v>0</v>
      </c>
      <c r="C27" s="49">
        <f t="shared" si="10"/>
        <v>0</v>
      </c>
      <c r="D27" s="5">
        <v>0</v>
      </c>
      <c r="E27" s="48">
        <v>0</v>
      </c>
      <c r="F27" s="5">
        <v>0</v>
      </c>
      <c r="G27" s="48">
        <v>0</v>
      </c>
      <c r="H27" s="5">
        <v>0</v>
      </c>
      <c r="I27" s="48">
        <v>0</v>
      </c>
      <c r="J27" s="5">
        <v>0</v>
      </c>
      <c r="K27" s="48">
        <v>0</v>
      </c>
      <c r="L27" s="5">
        <v>0</v>
      </c>
      <c r="M27" s="48">
        <v>0</v>
      </c>
      <c r="N27" s="5">
        <v>0</v>
      </c>
      <c r="O27" s="48">
        <v>0</v>
      </c>
      <c r="AC27" s="12" t="s">
        <v>182</v>
      </c>
      <c r="AD27" s="21">
        <f t="shared" si="12"/>
        <v>1</v>
      </c>
      <c r="AE27" s="21">
        <f t="shared" si="4"/>
        <v>0</v>
      </c>
      <c r="AF27" s="16">
        <v>0</v>
      </c>
      <c r="AG27" s="50">
        <v>0</v>
      </c>
      <c r="AH27" s="16">
        <v>0</v>
      </c>
      <c r="AI27" s="50">
        <v>0</v>
      </c>
      <c r="AJ27" s="16">
        <v>0</v>
      </c>
      <c r="AK27" s="50">
        <v>0</v>
      </c>
      <c r="AL27" s="16">
        <v>1</v>
      </c>
      <c r="AM27" s="50">
        <v>0</v>
      </c>
      <c r="AN27" s="16">
        <v>0</v>
      </c>
      <c r="AO27" s="50">
        <v>0</v>
      </c>
      <c r="AP27" s="16">
        <v>0</v>
      </c>
      <c r="AQ27" s="50">
        <v>0</v>
      </c>
    </row>
    <row r="28" spans="1:43" ht="51.75" thickBot="1" x14ac:dyDescent="0.3">
      <c r="A28" s="4" t="s">
        <v>150</v>
      </c>
      <c r="B28" s="20">
        <f t="shared" si="10"/>
        <v>0</v>
      </c>
      <c r="C28" s="49">
        <f t="shared" si="10"/>
        <v>0</v>
      </c>
      <c r="D28" s="5">
        <v>0</v>
      </c>
      <c r="E28" s="48">
        <v>0</v>
      </c>
      <c r="F28" s="5">
        <v>0</v>
      </c>
      <c r="G28" s="48">
        <v>0</v>
      </c>
      <c r="H28" s="5">
        <v>0</v>
      </c>
      <c r="I28" s="48">
        <v>0</v>
      </c>
      <c r="J28" s="5">
        <v>0</v>
      </c>
      <c r="K28" s="48">
        <v>0</v>
      </c>
      <c r="L28" s="5">
        <v>0</v>
      </c>
      <c r="M28" s="48">
        <v>0</v>
      </c>
      <c r="N28" s="5">
        <v>0</v>
      </c>
      <c r="O28" s="48">
        <v>0</v>
      </c>
      <c r="AC28" s="12" t="s">
        <v>183</v>
      </c>
      <c r="AD28" s="21">
        <f t="shared" si="12"/>
        <v>2</v>
      </c>
      <c r="AE28" s="21">
        <f t="shared" si="4"/>
        <v>0</v>
      </c>
      <c r="AF28" s="16">
        <v>0</v>
      </c>
      <c r="AG28" s="50">
        <v>0</v>
      </c>
      <c r="AH28" s="16">
        <v>2</v>
      </c>
      <c r="AI28" s="50">
        <v>0</v>
      </c>
      <c r="AJ28" s="16">
        <v>0</v>
      </c>
      <c r="AK28" s="50">
        <v>0</v>
      </c>
      <c r="AL28" s="16">
        <v>0</v>
      </c>
      <c r="AM28" s="50">
        <v>0</v>
      </c>
      <c r="AN28" s="16">
        <v>0</v>
      </c>
      <c r="AO28" s="50">
        <v>0</v>
      </c>
      <c r="AP28" s="16">
        <v>0</v>
      </c>
      <c r="AQ28" s="50">
        <v>0</v>
      </c>
    </row>
    <row r="29" spans="1:43" ht="21.75" customHeight="1" thickBot="1" x14ac:dyDescent="0.3">
      <c r="A29" s="4" t="s">
        <v>148</v>
      </c>
      <c r="B29" s="20">
        <f t="shared" si="10"/>
        <v>0</v>
      </c>
      <c r="C29" s="49">
        <f t="shared" si="10"/>
        <v>0</v>
      </c>
      <c r="D29" s="5">
        <v>0</v>
      </c>
      <c r="E29" s="48">
        <v>0</v>
      </c>
      <c r="F29" s="5">
        <v>0</v>
      </c>
      <c r="G29" s="48">
        <v>0</v>
      </c>
      <c r="H29" s="5">
        <v>0</v>
      </c>
      <c r="I29" s="48">
        <v>0</v>
      </c>
      <c r="J29" s="5">
        <v>0</v>
      </c>
      <c r="K29" s="48">
        <v>0</v>
      </c>
      <c r="L29" s="5">
        <v>0</v>
      </c>
      <c r="M29" s="48">
        <v>0</v>
      </c>
      <c r="N29" s="5">
        <v>0</v>
      </c>
      <c r="O29" s="48">
        <v>0</v>
      </c>
      <c r="AC29" s="12" t="s">
        <v>184</v>
      </c>
      <c r="AD29" s="21">
        <f t="shared" si="12"/>
        <v>2</v>
      </c>
      <c r="AE29" s="21">
        <f t="shared" si="4"/>
        <v>0</v>
      </c>
      <c r="AF29" s="16">
        <v>2</v>
      </c>
      <c r="AG29" s="50">
        <v>0</v>
      </c>
      <c r="AH29" s="16">
        <v>0</v>
      </c>
      <c r="AI29" s="50">
        <v>0</v>
      </c>
      <c r="AJ29" s="16">
        <v>0</v>
      </c>
      <c r="AK29" s="50">
        <v>0</v>
      </c>
      <c r="AL29" s="16">
        <v>0</v>
      </c>
      <c r="AM29" s="50">
        <v>0</v>
      </c>
      <c r="AN29" s="16">
        <v>0</v>
      </c>
      <c r="AO29" s="50">
        <v>0</v>
      </c>
      <c r="AP29" s="16">
        <v>0</v>
      </c>
      <c r="AQ29" s="50">
        <v>0</v>
      </c>
    </row>
    <row r="30" spans="1:43" s="23" customFormat="1" ht="26.25" thickBot="1" x14ac:dyDescent="0.3">
      <c r="A30" s="13" t="s">
        <v>151</v>
      </c>
      <c r="B30" s="15">
        <f t="shared" si="10"/>
        <v>8</v>
      </c>
      <c r="C30" s="15">
        <f t="shared" si="10"/>
        <v>0</v>
      </c>
      <c r="D30" s="15">
        <f>SUM(D31)</f>
        <v>4</v>
      </c>
      <c r="E30" s="15">
        <f t="shared" ref="E30:O30" si="15">SUM(E31)</f>
        <v>0</v>
      </c>
      <c r="F30" s="15">
        <f>SUM(F31)</f>
        <v>4</v>
      </c>
      <c r="G30" s="15">
        <f t="shared" si="15"/>
        <v>0</v>
      </c>
      <c r="H30" s="15">
        <f t="shared" si="15"/>
        <v>0</v>
      </c>
      <c r="I30" s="15">
        <f t="shared" si="15"/>
        <v>0</v>
      </c>
      <c r="J30" s="15">
        <f t="shared" si="15"/>
        <v>0</v>
      </c>
      <c r="K30" s="15">
        <f t="shared" si="15"/>
        <v>0</v>
      </c>
      <c r="L30" s="15">
        <f t="shared" si="15"/>
        <v>0</v>
      </c>
      <c r="M30" s="15">
        <f t="shared" si="15"/>
        <v>0</v>
      </c>
      <c r="N30" s="15">
        <f t="shared" si="15"/>
        <v>0</v>
      </c>
      <c r="O30" s="15">
        <f t="shared" si="15"/>
        <v>0</v>
      </c>
      <c r="AC30" s="12" t="s">
        <v>185</v>
      </c>
      <c r="AD30" s="21">
        <f t="shared" si="12"/>
        <v>9</v>
      </c>
      <c r="AE30" s="21">
        <f t="shared" si="4"/>
        <v>0</v>
      </c>
      <c r="AF30" s="16">
        <v>0</v>
      </c>
      <c r="AG30" s="50">
        <v>0</v>
      </c>
      <c r="AH30" s="16">
        <v>7</v>
      </c>
      <c r="AI30" s="50">
        <v>0</v>
      </c>
      <c r="AJ30" s="16">
        <v>1</v>
      </c>
      <c r="AK30" s="50">
        <v>0</v>
      </c>
      <c r="AL30" s="16">
        <v>1</v>
      </c>
      <c r="AM30" s="50">
        <v>0</v>
      </c>
      <c r="AN30" s="16">
        <v>0</v>
      </c>
      <c r="AO30" s="50">
        <v>0</v>
      </c>
      <c r="AP30" s="16">
        <v>0</v>
      </c>
      <c r="AQ30" s="50">
        <v>0</v>
      </c>
    </row>
    <row r="31" spans="1:43" ht="77.25" thickBot="1" x14ac:dyDescent="0.3">
      <c r="A31" s="4" t="s">
        <v>152</v>
      </c>
      <c r="B31" s="20">
        <f t="shared" si="10"/>
        <v>8</v>
      </c>
      <c r="C31" s="49">
        <f t="shared" si="10"/>
        <v>0</v>
      </c>
      <c r="D31" s="5">
        <v>4</v>
      </c>
      <c r="E31" s="48">
        <v>0</v>
      </c>
      <c r="F31" s="5">
        <v>4</v>
      </c>
      <c r="G31" s="48">
        <v>0</v>
      </c>
      <c r="H31" s="5">
        <v>0</v>
      </c>
      <c r="I31" s="48">
        <v>0</v>
      </c>
      <c r="J31" s="5">
        <v>0</v>
      </c>
      <c r="K31" s="48">
        <v>0</v>
      </c>
      <c r="L31" s="5">
        <v>0</v>
      </c>
      <c r="M31" s="48">
        <v>0</v>
      </c>
      <c r="N31" s="5">
        <v>0</v>
      </c>
      <c r="O31" s="48">
        <v>0</v>
      </c>
      <c r="AC31" s="13" t="s">
        <v>189</v>
      </c>
      <c r="AD31" s="19">
        <f t="shared" si="12"/>
        <v>0</v>
      </c>
      <c r="AE31" s="19">
        <f>SUM(AG31,AI31,AK31,AM31,AO31,AQ31)</f>
        <v>0</v>
      </c>
      <c r="AF31" s="19">
        <f>SUM(AF32:AF35)</f>
        <v>0</v>
      </c>
      <c r="AG31" s="19">
        <f t="shared" ref="AG31:AQ31" si="16">SUM(AG32:AG35)</f>
        <v>0</v>
      </c>
      <c r="AH31" s="19">
        <f t="shared" si="16"/>
        <v>0</v>
      </c>
      <c r="AI31" s="19">
        <f t="shared" si="16"/>
        <v>0</v>
      </c>
      <c r="AJ31" s="19">
        <f t="shared" si="16"/>
        <v>0</v>
      </c>
      <c r="AK31" s="19">
        <f t="shared" si="16"/>
        <v>0</v>
      </c>
      <c r="AL31" s="19">
        <f t="shared" si="16"/>
        <v>0</v>
      </c>
      <c r="AM31" s="19">
        <f t="shared" si="16"/>
        <v>0</v>
      </c>
      <c r="AN31" s="19">
        <f t="shared" si="16"/>
        <v>0</v>
      </c>
      <c r="AO31" s="19">
        <f t="shared" si="16"/>
        <v>0</v>
      </c>
      <c r="AP31" s="19">
        <f t="shared" si="16"/>
        <v>0</v>
      </c>
      <c r="AQ31" s="19">
        <f t="shared" si="16"/>
        <v>0</v>
      </c>
    </row>
    <row r="32" spans="1:43" s="23" customFormat="1" ht="39" thickBot="1" x14ac:dyDescent="0.3">
      <c r="A32" s="13" t="s">
        <v>153</v>
      </c>
      <c r="B32" s="15">
        <f t="shared" si="10"/>
        <v>0</v>
      </c>
      <c r="C32" s="15">
        <f t="shared" si="10"/>
        <v>0</v>
      </c>
      <c r="D32" s="15">
        <f>SUM(D33:D35)</f>
        <v>0</v>
      </c>
      <c r="E32" s="15">
        <f t="shared" ref="E32:O32" si="17">SUM(E33:E35)</f>
        <v>0</v>
      </c>
      <c r="F32" s="15">
        <f t="shared" si="17"/>
        <v>0</v>
      </c>
      <c r="G32" s="15">
        <f t="shared" si="17"/>
        <v>0</v>
      </c>
      <c r="H32" s="15">
        <f t="shared" si="17"/>
        <v>0</v>
      </c>
      <c r="I32" s="15">
        <f t="shared" si="17"/>
        <v>0</v>
      </c>
      <c r="J32" s="15">
        <f t="shared" si="17"/>
        <v>0</v>
      </c>
      <c r="K32" s="15">
        <f t="shared" si="17"/>
        <v>0</v>
      </c>
      <c r="L32" s="15">
        <f t="shared" si="17"/>
        <v>0</v>
      </c>
      <c r="M32" s="15">
        <f t="shared" si="17"/>
        <v>0</v>
      </c>
      <c r="N32" s="15">
        <f t="shared" si="17"/>
        <v>0</v>
      </c>
      <c r="O32" s="15">
        <f t="shared" si="17"/>
        <v>0</v>
      </c>
      <c r="AC32" s="12" t="s">
        <v>190</v>
      </c>
      <c r="AD32" s="21">
        <f t="shared" si="12"/>
        <v>0</v>
      </c>
      <c r="AE32" s="21">
        <f t="shared" ref="AE32:AE50" si="18">SUM(AG32,AI32,AK32,AM32,AO32,AQ32)</f>
        <v>0</v>
      </c>
      <c r="AF32" s="16">
        <v>0</v>
      </c>
      <c r="AG32" s="16">
        <v>0</v>
      </c>
      <c r="AH32" s="16">
        <v>0</v>
      </c>
      <c r="AI32" s="16">
        <v>0</v>
      </c>
      <c r="AJ32" s="16">
        <v>0</v>
      </c>
      <c r="AK32" s="16">
        <v>0</v>
      </c>
      <c r="AL32" s="16">
        <v>0</v>
      </c>
      <c r="AM32" s="16">
        <v>0</v>
      </c>
      <c r="AN32" s="16">
        <v>0</v>
      </c>
      <c r="AO32" s="16">
        <v>0</v>
      </c>
      <c r="AP32" s="16">
        <v>0</v>
      </c>
      <c r="AQ32" s="16">
        <v>0</v>
      </c>
    </row>
    <row r="33" spans="1:43" ht="96" customHeight="1" thickBot="1" x14ac:dyDescent="0.3">
      <c r="A33" s="12" t="s">
        <v>154</v>
      </c>
      <c r="B33" s="20">
        <f t="shared" si="10"/>
        <v>0</v>
      </c>
      <c r="C33" s="49">
        <f t="shared" si="10"/>
        <v>0</v>
      </c>
      <c r="D33" s="5">
        <v>0</v>
      </c>
      <c r="E33" s="48">
        <v>0</v>
      </c>
      <c r="F33" s="5">
        <v>0</v>
      </c>
      <c r="G33" s="48">
        <v>0</v>
      </c>
      <c r="H33" s="5">
        <v>0</v>
      </c>
      <c r="I33" s="48">
        <v>0</v>
      </c>
      <c r="J33" s="5">
        <v>0</v>
      </c>
      <c r="K33" s="48">
        <v>0</v>
      </c>
      <c r="L33" s="5">
        <v>0</v>
      </c>
      <c r="M33" s="48">
        <v>0</v>
      </c>
      <c r="N33" s="5">
        <v>0</v>
      </c>
      <c r="O33" s="48">
        <v>0</v>
      </c>
      <c r="AC33" s="12" t="s">
        <v>191</v>
      </c>
      <c r="AD33" s="21">
        <f t="shared" si="12"/>
        <v>0</v>
      </c>
      <c r="AE33" s="21">
        <f t="shared" si="18"/>
        <v>0</v>
      </c>
      <c r="AF33" s="16">
        <v>0</v>
      </c>
      <c r="AG33" s="16">
        <v>0</v>
      </c>
      <c r="AH33" s="16">
        <v>0</v>
      </c>
      <c r="AI33" s="16">
        <v>0</v>
      </c>
      <c r="AJ33" s="16">
        <v>0</v>
      </c>
      <c r="AK33" s="16">
        <v>0</v>
      </c>
      <c r="AL33" s="16">
        <v>0</v>
      </c>
      <c r="AM33" s="16">
        <v>0</v>
      </c>
      <c r="AN33" s="16">
        <v>0</v>
      </c>
      <c r="AO33" s="16">
        <v>0</v>
      </c>
      <c r="AP33" s="16">
        <v>0</v>
      </c>
      <c r="AQ33" s="16">
        <v>0</v>
      </c>
    </row>
    <row r="34" spans="1:43" ht="95.25" customHeight="1" thickBot="1" x14ac:dyDescent="0.3">
      <c r="A34" s="4" t="s">
        <v>155</v>
      </c>
      <c r="B34" s="20">
        <f t="shared" si="10"/>
        <v>0</v>
      </c>
      <c r="C34" s="49">
        <f t="shared" si="10"/>
        <v>0</v>
      </c>
      <c r="D34" s="5">
        <v>0</v>
      </c>
      <c r="E34" s="48">
        <v>0</v>
      </c>
      <c r="F34" s="5">
        <v>0</v>
      </c>
      <c r="G34" s="48">
        <v>0</v>
      </c>
      <c r="H34" s="5">
        <v>0</v>
      </c>
      <c r="I34" s="48">
        <v>0</v>
      </c>
      <c r="J34" s="5">
        <v>0</v>
      </c>
      <c r="K34" s="48">
        <v>0</v>
      </c>
      <c r="L34" s="5">
        <v>0</v>
      </c>
      <c r="M34" s="48">
        <v>0</v>
      </c>
      <c r="N34" s="5">
        <v>0</v>
      </c>
      <c r="O34" s="48">
        <v>0</v>
      </c>
      <c r="AC34" s="12" t="s">
        <v>192</v>
      </c>
      <c r="AD34" s="21">
        <f t="shared" si="12"/>
        <v>0</v>
      </c>
      <c r="AE34" s="21">
        <f t="shared" si="18"/>
        <v>0</v>
      </c>
      <c r="AF34" s="16">
        <v>0</v>
      </c>
      <c r="AG34" s="16">
        <v>0</v>
      </c>
      <c r="AH34" s="16">
        <v>0</v>
      </c>
      <c r="AI34" s="16">
        <v>0</v>
      </c>
      <c r="AJ34" s="16">
        <v>0</v>
      </c>
      <c r="AK34" s="16">
        <v>0</v>
      </c>
      <c r="AL34" s="16">
        <v>0</v>
      </c>
      <c r="AM34" s="16">
        <v>0</v>
      </c>
      <c r="AN34" s="16">
        <v>0</v>
      </c>
      <c r="AO34" s="16">
        <v>0</v>
      </c>
      <c r="AP34" s="16">
        <v>0</v>
      </c>
      <c r="AQ34" s="16">
        <v>0</v>
      </c>
    </row>
    <row r="35" spans="1:43" ht="45.75" customHeight="1" thickBot="1" x14ac:dyDescent="0.3">
      <c r="A35" s="4" t="s">
        <v>156</v>
      </c>
      <c r="B35" s="20">
        <f t="shared" si="10"/>
        <v>0</v>
      </c>
      <c r="C35" s="49">
        <f t="shared" si="10"/>
        <v>0</v>
      </c>
      <c r="D35" s="5">
        <v>0</v>
      </c>
      <c r="E35" s="48">
        <v>0</v>
      </c>
      <c r="F35" s="5">
        <v>0</v>
      </c>
      <c r="G35" s="48">
        <v>0</v>
      </c>
      <c r="H35" s="5">
        <v>0</v>
      </c>
      <c r="I35" s="48">
        <v>0</v>
      </c>
      <c r="J35" s="5">
        <v>0</v>
      </c>
      <c r="K35" s="48">
        <v>0</v>
      </c>
      <c r="L35" s="5">
        <v>0</v>
      </c>
      <c r="M35" s="48">
        <v>0</v>
      </c>
      <c r="N35" s="5">
        <v>0</v>
      </c>
      <c r="O35" s="48">
        <v>0</v>
      </c>
      <c r="AC35" s="12" t="s">
        <v>193</v>
      </c>
      <c r="AD35" s="21">
        <f t="shared" si="12"/>
        <v>0</v>
      </c>
      <c r="AE35" s="21">
        <f t="shared" si="18"/>
        <v>0</v>
      </c>
      <c r="AF35" s="16">
        <v>0</v>
      </c>
      <c r="AG35" s="16">
        <v>0</v>
      </c>
      <c r="AH35" s="16">
        <v>0</v>
      </c>
      <c r="AI35" s="16">
        <v>0</v>
      </c>
      <c r="AJ35" s="16">
        <v>0</v>
      </c>
      <c r="AK35" s="16">
        <v>0</v>
      </c>
      <c r="AL35" s="16">
        <v>0</v>
      </c>
      <c r="AM35" s="16">
        <v>0</v>
      </c>
      <c r="AN35" s="16">
        <v>0</v>
      </c>
      <c r="AO35" s="16">
        <v>0</v>
      </c>
      <c r="AP35" s="16">
        <v>0</v>
      </c>
      <c r="AQ35" s="16">
        <v>0</v>
      </c>
    </row>
    <row r="36" spans="1:43" s="23" customFormat="1" ht="26.25" thickBot="1" x14ac:dyDescent="0.3">
      <c r="A36" s="13" t="s">
        <v>157</v>
      </c>
      <c r="B36" s="15">
        <f t="shared" si="10"/>
        <v>0</v>
      </c>
      <c r="C36" s="15">
        <f t="shared" si="10"/>
        <v>0</v>
      </c>
      <c r="D36" s="15">
        <f>SUM(D37)</f>
        <v>0</v>
      </c>
      <c r="E36" s="15">
        <f t="shared" ref="E36:O36" si="19">SUM(E37)</f>
        <v>0</v>
      </c>
      <c r="F36" s="15">
        <f t="shared" si="19"/>
        <v>0</v>
      </c>
      <c r="G36" s="15">
        <f t="shared" si="19"/>
        <v>0</v>
      </c>
      <c r="H36" s="15">
        <f t="shared" si="19"/>
        <v>0</v>
      </c>
      <c r="I36" s="15">
        <f t="shared" si="19"/>
        <v>0</v>
      </c>
      <c r="J36" s="15">
        <f t="shared" si="19"/>
        <v>0</v>
      </c>
      <c r="K36" s="15">
        <f t="shared" si="19"/>
        <v>0</v>
      </c>
      <c r="L36" s="15">
        <f t="shared" si="19"/>
        <v>0</v>
      </c>
      <c r="M36" s="15">
        <f t="shared" si="19"/>
        <v>0</v>
      </c>
      <c r="N36" s="15">
        <f t="shared" si="19"/>
        <v>0</v>
      </c>
      <c r="O36" s="15">
        <f t="shared" si="19"/>
        <v>0</v>
      </c>
      <c r="AC36" s="13" t="s">
        <v>194</v>
      </c>
      <c r="AD36" s="19">
        <f>SUM(AF36,AH36,AJ36,AL36,AN36,AP36)</f>
        <v>9</v>
      </c>
      <c r="AE36" s="19">
        <f t="shared" si="18"/>
        <v>0</v>
      </c>
      <c r="AF36" s="19">
        <f>SUM(AF37:AF42)</f>
        <v>0</v>
      </c>
      <c r="AG36" s="19">
        <f t="shared" ref="AG36:AQ36" si="20">SUM(AG37:AG42)</f>
        <v>0</v>
      </c>
      <c r="AH36" s="19">
        <f t="shared" si="20"/>
        <v>4</v>
      </c>
      <c r="AI36" s="19">
        <f t="shared" si="20"/>
        <v>0</v>
      </c>
      <c r="AJ36" s="19">
        <f t="shared" si="20"/>
        <v>1</v>
      </c>
      <c r="AK36" s="19">
        <f t="shared" si="20"/>
        <v>0</v>
      </c>
      <c r="AL36" s="19">
        <f>SUM(AL37:AL42)</f>
        <v>2</v>
      </c>
      <c r="AM36" s="19">
        <f t="shared" si="20"/>
        <v>0</v>
      </c>
      <c r="AN36" s="19">
        <f t="shared" si="20"/>
        <v>1</v>
      </c>
      <c r="AO36" s="19">
        <f t="shared" si="20"/>
        <v>0</v>
      </c>
      <c r="AP36" s="19">
        <f t="shared" si="20"/>
        <v>1</v>
      </c>
      <c r="AQ36" s="19">
        <f t="shared" si="20"/>
        <v>0</v>
      </c>
    </row>
    <row r="37" spans="1:43" ht="65.25" customHeight="1" thickBot="1" x14ac:dyDescent="0.3">
      <c r="A37" s="12" t="s">
        <v>158</v>
      </c>
      <c r="B37" s="20">
        <f t="shared" si="10"/>
        <v>0</v>
      </c>
      <c r="C37" s="20">
        <f t="shared" si="10"/>
        <v>0</v>
      </c>
      <c r="D37" s="5">
        <v>0</v>
      </c>
      <c r="E37" s="5">
        <v>0</v>
      </c>
      <c r="F37" s="5">
        <v>0</v>
      </c>
      <c r="G37" s="5">
        <v>0</v>
      </c>
      <c r="H37" s="5">
        <v>0</v>
      </c>
      <c r="I37" s="5">
        <v>0</v>
      </c>
      <c r="J37" s="5">
        <v>0</v>
      </c>
      <c r="K37" s="5">
        <v>0</v>
      </c>
      <c r="L37" s="5">
        <v>0</v>
      </c>
      <c r="M37" s="5">
        <v>0</v>
      </c>
      <c r="N37" s="5">
        <v>0</v>
      </c>
      <c r="O37" s="5">
        <v>0</v>
      </c>
      <c r="AC37" s="12" t="s">
        <v>200</v>
      </c>
      <c r="AD37" s="21">
        <f t="shared" ref="AD37:AD50" si="21">SUM(AF37,AH37,AJ37,AL37,AN37,AP37)</f>
        <v>9</v>
      </c>
      <c r="AE37" s="21">
        <f t="shared" si="18"/>
        <v>0</v>
      </c>
      <c r="AF37" s="16">
        <v>0</v>
      </c>
      <c r="AG37" s="50">
        <v>0</v>
      </c>
      <c r="AH37" s="16">
        <v>4</v>
      </c>
      <c r="AI37" s="50">
        <v>0</v>
      </c>
      <c r="AJ37" s="16">
        <v>1</v>
      </c>
      <c r="AK37" s="50">
        <v>0</v>
      </c>
      <c r="AL37" s="16">
        <v>2</v>
      </c>
      <c r="AM37" s="50">
        <v>0</v>
      </c>
      <c r="AN37" s="16">
        <v>1</v>
      </c>
      <c r="AO37" s="50">
        <v>0</v>
      </c>
      <c r="AP37" s="16">
        <v>1</v>
      </c>
      <c r="AQ37" s="50">
        <v>0</v>
      </c>
    </row>
    <row r="38" spans="1:43" s="23" customFormat="1" ht="13.5" thickBot="1" x14ac:dyDescent="0.3">
      <c r="A38" s="13" t="s">
        <v>159</v>
      </c>
      <c r="B38" s="15">
        <f>SUM(D38,F38,H38,J38,L38,N38)</f>
        <v>0</v>
      </c>
      <c r="C38" s="15">
        <f t="shared" si="10"/>
        <v>0</v>
      </c>
      <c r="D38" s="15">
        <f>SUM(D39)</f>
        <v>0</v>
      </c>
      <c r="E38" s="15">
        <f t="shared" ref="E38:O38" si="22">SUM(E39)</f>
        <v>0</v>
      </c>
      <c r="F38" s="15">
        <f t="shared" si="22"/>
        <v>0</v>
      </c>
      <c r="G38" s="15">
        <f t="shared" si="22"/>
        <v>0</v>
      </c>
      <c r="H38" s="15">
        <f t="shared" si="22"/>
        <v>0</v>
      </c>
      <c r="I38" s="15">
        <f t="shared" si="22"/>
        <v>0</v>
      </c>
      <c r="J38" s="15">
        <f t="shared" si="22"/>
        <v>0</v>
      </c>
      <c r="K38" s="15">
        <f t="shared" si="22"/>
        <v>0</v>
      </c>
      <c r="L38" s="15">
        <f t="shared" si="22"/>
        <v>0</v>
      </c>
      <c r="M38" s="15">
        <f t="shared" si="22"/>
        <v>0</v>
      </c>
      <c r="N38" s="15">
        <f t="shared" si="22"/>
        <v>0</v>
      </c>
      <c r="O38" s="15">
        <f t="shared" si="22"/>
        <v>0</v>
      </c>
      <c r="AC38" s="12" t="s">
        <v>195</v>
      </c>
      <c r="AD38" s="21">
        <f t="shared" si="21"/>
        <v>0</v>
      </c>
      <c r="AE38" s="21">
        <f t="shared" si="18"/>
        <v>0</v>
      </c>
      <c r="AF38" s="16">
        <v>0</v>
      </c>
      <c r="AG38" s="50">
        <v>0</v>
      </c>
      <c r="AH38" s="16">
        <v>0</v>
      </c>
      <c r="AI38" s="50">
        <v>0</v>
      </c>
      <c r="AJ38" s="16">
        <v>0</v>
      </c>
      <c r="AK38" s="50">
        <v>0</v>
      </c>
      <c r="AL38" s="16">
        <v>0</v>
      </c>
      <c r="AM38" s="50">
        <v>0</v>
      </c>
      <c r="AN38" s="16">
        <v>0</v>
      </c>
      <c r="AO38" s="50">
        <v>0</v>
      </c>
      <c r="AP38" s="16">
        <v>0</v>
      </c>
      <c r="AQ38" s="50">
        <v>0</v>
      </c>
    </row>
    <row r="39" spans="1:43" ht="21.75" customHeight="1" thickBot="1" x14ac:dyDescent="0.3">
      <c r="A39" s="4" t="s">
        <v>160</v>
      </c>
      <c r="B39" s="20">
        <f t="shared" si="10"/>
        <v>0</v>
      </c>
      <c r="C39" s="18">
        <f t="shared" si="10"/>
        <v>0</v>
      </c>
      <c r="D39" s="5">
        <v>0</v>
      </c>
      <c r="E39" s="5">
        <v>0</v>
      </c>
      <c r="F39" s="5">
        <v>0</v>
      </c>
      <c r="G39" s="5">
        <v>0</v>
      </c>
      <c r="H39" s="5">
        <v>0</v>
      </c>
      <c r="I39" s="5">
        <v>0</v>
      </c>
      <c r="J39" s="5">
        <v>0</v>
      </c>
      <c r="K39" s="5">
        <v>0</v>
      </c>
      <c r="L39" s="5">
        <v>0</v>
      </c>
      <c r="M39" s="5">
        <v>0</v>
      </c>
      <c r="N39" s="5">
        <v>0</v>
      </c>
      <c r="O39" s="5">
        <v>0</v>
      </c>
      <c r="AC39" s="12" t="s">
        <v>196</v>
      </c>
      <c r="AD39" s="21">
        <f t="shared" si="21"/>
        <v>0</v>
      </c>
      <c r="AE39" s="21">
        <f t="shared" si="18"/>
        <v>0</v>
      </c>
      <c r="AF39" s="16">
        <v>0</v>
      </c>
      <c r="AG39" s="50">
        <v>0</v>
      </c>
      <c r="AH39" s="16">
        <v>0</v>
      </c>
      <c r="AI39" s="50">
        <v>0</v>
      </c>
      <c r="AJ39" s="16">
        <v>0</v>
      </c>
      <c r="AK39" s="50">
        <v>0</v>
      </c>
      <c r="AL39" s="16">
        <v>0</v>
      </c>
      <c r="AM39" s="50">
        <v>0</v>
      </c>
      <c r="AN39" s="16">
        <v>0</v>
      </c>
      <c r="AO39" s="50">
        <v>0</v>
      </c>
      <c r="AP39" s="16">
        <v>0</v>
      </c>
      <c r="AQ39" s="50">
        <v>0</v>
      </c>
    </row>
    <row r="40" spans="1:43" ht="21" customHeight="1" thickBot="1" x14ac:dyDescent="0.3">
      <c r="AC40" s="12" t="s">
        <v>197</v>
      </c>
      <c r="AD40" s="21">
        <f t="shared" si="21"/>
        <v>0</v>
      </c>
      <c r="AE40" s="21">
        <f t="shared" si="18"/>
        <v>0</v>
      </c>
      <c r="AF40" s="16">
        <v>0</v>
      </c>
      <c r="AG40" s="50">
        <v>0</v>
      </c>
      <c r="AH40" s="16">
        <v>0</v>
      </c>
      <c r="AI40" s="50">
        <v>0</v>
      </c>
      <c r="AJ40" s="16">
        <v>0</v>
      </c>
      <c r="AK40" s="50">
        <v>0</v>
      </c>
      <c r="AL40" s="16">
        <v>0</v>
      </c>
      <c r="AM40" s="50">
        <v>0</v>
      </c>
      <c r="AN40" s="16">
        <v>0</v>
      </c>
      <c r="AO40" s="50">
        <v>0</v>
      </c>
      <c r="AP40" s="16">
        <v>0</v>
      </c>
      <c r="AQ40" s="50">
        <v>0</v>
      </c>
    </row>
    <row r="41" spans="1:43" ht="13.5" thickBot="1" x14ac:dyDescent="0.3">
      <c r="A41" s="192"/>
      <c r="B41" s="192"/>
      <c r="C41" s="192"/>
      <c r="D41" s="192"/>
      <c r="E41" s="192"/>
      <c r="F41" s="192"/>
      <c r="G41" s="192"/>
      <c r="H41" s="192"/>
      <c r="I41" s="192"/>
      <c r="J41" s="192"/>
      <c r="K41" s="192"/>
      <c r="L41" s="192"/>
      <c r="M41" s="192"/>
      <c r="N41" s="192"/>
      <c r="O41" s="192"/>
      <c r="AC41" s="12" t="s">
        <v>198</v>
      </c>
      <c r="AD41" s="21">
        <f t="shared" si="21"/>
        <v>0</v>
      </c>
      <c r="AE41" s="21">
        <f t="shared" si="18"/>
        <v>0</v>
      </c>
      <c r="AF41" s="16">
        <v>0</v>
      </c>
      <c r="AG41" s="50">
        <v>0</v>
      </c>
      <c r="AH41" s="16">
        <v>0</v>
      </c>
      <c r="AI41" s="50">
        <v>0</v>
      </c>
      <c r="AJ41" s="16">
        <v>0</v>
      </c>
      <c r="AK41" s="50">
        <v>0</v>
      </c>
      <c r="AL41" s="16">
        <v>0</v>
      </c>
      <c r="AM41" s="50">
        <v>0</v>
      </c>
      <c r="AN41" s="16">
        <v>0</v>
      </c>
      <c r="AO41" s="50">
        <v>0</v>
      </c>
      <c r="AP41" s="16">
        <v>0</v>
      </c>
      <c r="AQ41" s="50">
        <v>0</v>
      </c>
    </row>
    <row r="42" spans="1:43" ht="22.5" customHeight="1" thickBot="1" x14ac:dyDescent="0.3">
      <c r="AC42" s="12" t="s">
        <v>199</v>
      </c>
      <c r="AD42" s="21">
        <f t="shared" si="21"/>
        <v>0</v>
      </c>
      <c r="AE42" s="21">
        <f t="shared" si="18"/>
        <v>0</v>
      </c>
      <c r="AF42" s="16">
        <v>0</v>
      </c>
      <c r="AG42" s="50">
        <v>0</v>
      </c>
      <c r="AH42" s="16">
        <v>0</v>
      </c>
      <c r="AI42" s="50">
        <v>0</v>
      </c>
      <c r="AJ42" s="16">
        <v>0</v>
      </c>
      <c r="AK42" s="50">
        <v>0</v>
      </c>
      <c r="AL42" s="16">
        <v>0</v>
      </c>
      <c r="AM42" s="50">
        <v>0</v>
      </c>
      <c r="AN42" s="16">
        <v>0</v>
      </c>
      <c r="AO42" s="50">
        <v>0</v>
      </c>
      <c r="AP42" s="16">
        <v>0</v>
      </c>
      <c r="AQ42" s="50">
        <v>0</v>
      </c>
    </row>
    <row r="43" spans="1:43" ht="22.5" customHeight="1" thickBot="1" x14ac:dyDescent="0.3">
      <c r="AC43" s="13" t="s">
        <v>201</v>
      </c>
      <c r="AD43" s="19">
        <f t="shared" si="21"/>
        <v>9</v>
      </c>
      <c r="AE43" s="19">
        <f t="shared" si="18"/>
        <v>0</v>
      </c>
      <c r="AF43" s="19">
        <f>SUM(AF44:AF45)</f>
        <v>0</v>
      </c>
      <c r="AG43" s="19">
        <f t="shared" ref="AG43:AQ43" si="23">SUM(AG44:AG45)</f>
        <v>0</v>
      </c>
      <c r="AH43" s="19">
        <f t="shared" si="23"/>
        <v>3</v>
      </c>
      <c r="AI43" s="19">
        <f t="shared" si="23"/>
        <v>0</v>
      </c>
      <c r="AJ43" s="19">
        <f t="shared" si="23"/>
        <v>1</v>
      </c>
      <c r="AK43" s="19">
        <f t="shared" si="23"/>
        <v>0</v>
      </c>
      <c r="AL43" s="19">
        <f t="shared" si="23"/>
        <v>3</v>
      </c>
      <c r="AM43" s="19">
        <f t="shared" si="23"/>
        <v>0</v>
      </c>
      <c r="AN43" s="19">
        <f t="shared" si="23"/>
        <v>1</v>
      </c>
      <c r="AO43" s="19">
        <f t="shared" si="23"/>
        <v>0</v>
      </c>
      <c r="AP43" s="19">
        <f t="shared" si="23"/>
        <v>1</v>
      </c>
      <c r="AQ43" s="19">
        <f t="shared" si="23"/>
        <v>0</v>
      </c>
    </row>
    <row r="44" spans="1:43" ht="26.25" thickBot="1" x14ac:dyDescent="0.3">
      <c r="AC44" s="12" t="s">
        <v>203</v>
      </c>
      <c r="AD44" s="21">
        <f t="shared" si="21"/>
        <v>9</v>
      </c>
      <c r="AE44" s="21">
        <f t="shared" si="18"/>
        <v>0</v>
      </c>
      <c r="AF44" s="16">
        <v>0</v>
      </c>
      <c r="AG44" s="50">
        <v>0</v>
      </c>
      <c r="AH44" s="16">
        <v>3</v>
      </c>
      <c r="AI44" s="50">
        <v>0</v>
      </c>
      <c r="AJ44" s="16">
        <v>1</v>
      </c>
      <c r="AK44" s="50">
        <v>0</v>
      </c>
      <c r="AL44" s="16">
        <v>3</v>
      </c>
      <c r="AM44" s="50">
        <v>0</v>
      </c>
      <c r="AN44" s="16">
        <v>1</v>
      </c>
      <c r="AO44" s="50">
        <v>0</v>
      </c>
      <c r="AP44" s="16">
        <v>1</v>
      </c>
      <c r="AQ44" s="50">
        <v>0</v>
      </c>
    </row>
    <row r="45" spans="1:43" ht="20.25" customHeight="1" thickBot="1" x14ac:dyDescent="0.3">
      <c r="AC45" s="12" t="s">
        <v>202</v>
      </c>
      <c r="AD45" s="21">
        <f t="shared" si="21"/>
        <v>0</v>
      </c>
      <c r="AE45" s="21">
        <f t="shared" si="18"/>
        <v>0</v>
      </c>
      <c r="AF45" s="16">
        <v>0</v>
      </c>
      <c r="AG45" s="50">
        <v>0</v>
      </c>
      <c r="AH45" s="16">
        <v>0</v>
      </c>
      <c r="AI45" s="50">
        <v>0</v>
      </c>
      <c r="AJ45" s="16">
        <v>0</v>
      </c>
      <c r="AK45" s="50">
        <v>0</v>
      </c>
      <c r="AL45" s="16">
        <v>0</v>
      </c>
      <c r="AM45" s="50">
        <v>0</v>
      </c>
      <c r="AN45" s="16">
        <v>0</v>
      </c>
      <c r="AO45" s="50">
        <v>0</v>
      </c>
      <c r="AP45" s="16">
        <v>0</v>
      </c>
      <c r="AQ45" s="50">
        <v>0</v>
      </c>
    </row>
    <row r="46" spans="1:43" ht="20.25" customHeight="1" thickBot="1" x14ac:dyDescent="0.3">
      <c r="AC46" s="13" t="s">
        <v>204</v>
      </c>
      <c r="AD46" s="19">
        <f t="shared" si="21"/>
        <v>0</v>
      </c>
      <c r="AE46" s="19">
        <f t="shared" si="18"/>
        <v>0</v>
      </c>
      <c r="AF46" s="19">
        <f>SUM(AF47:AF50)</f>
        <v>0</v>
      </c>
      <c r="AG46" s="19">
        <f t="shared" ref="AG46:AQ46" si="24">SUM(AG47:AG50)</f>
        <v>0</v>
      </c>
      <c r="AH46" s="19">
        <f t="shared" si="24"/>
        <v>0</v>
      </c>
      <c r="AI46" s="19">
        <f t="shared" si="24"/>
        <v>0</v>
      </c>
      <c r="AJ46" s="19">
        <f t="shared" si="24"/>
        <v>0</v>
      </c>
      <c r="AK46" s="19">
        <f t="shared" si="24"/>
        <v>0</v>
      </c>
      <c r="AL46" s="19">
        <f t="shared" si="24"/>
        <v>0</v>
      </c>
      <c r="AM46" s="19">
        <f t="shared" si="24"/>
        <v>0</v>
      </c>
      <c r="AN46" s="19">
        <f t="shared" si="24"/>
        <v>0</v>
      </c>
      <c r="AO46" s="19">
        <f t="shared" si="24"/>
        <v>0</v>
      </c>
      <c r="AP46" s="19">
        <f t="shared" si="24"/>
        <v>0</v>
      </c>
      <c r="AQ46" s="19">
        <f t="shared" si="24"/>
        <v>0</v>
      </c>
    </row>
    <row r="47" spans="1:43" ht="20.25" customHeight="1" thickBot="1" x14ac:dyDescent="0.3">
      <c r="AC47" s="12" t="s">
        <v>205</v>
      </c>
      <c r="AD47" s="21">
        <f t="shared" si="21"/>
        <v>0</v>
      </c>
      <c r="AE47" s="21">
        <f t="shared" si="18"/>
        <v>0</v>
      </c>
      <c r="AF47" s="16">
        <v>0</v>
      </c>
      <c r="AG47" s="16">
        <v>0</v>
      </c>
      <c r="AH47" s="16">
        <v>0</v>
      </c>
      <c r="AI47" s="16">
        <v>0</v>
      </c>
      <c r="AJ47" s="16">
        <v>0</v>
      </c>
      <c r="AK47" s="16">
        <v>0</v>
      </c>
      <c r="AL47" s="16">
        <v>0</v>
      </c>
      <c r="AM47" s="16">
        <v>0</v>
      </c>
      <c r="AN47" s="16">
        <v>0</v>
      </c>
      <c r="AO47" s="16">
        <v>0</v>
      </c>
      <c r="AP47" s="16">
        <v>0</v>
      </c>
      <c r="AQ47" s="16">
        <v>0</v>
      </c>
    </row>
    <row r="48" spans="1:43" ht="33" customHeight="1" thickBot="1" x14ac:dyDescent="0.3">
      <c r="AC48" s="12" t="s">
        <v>206</v>
      </c>
      <c r="AD48" s="21">
        <f t="shared" si="21"/>
        <v>0</v>
      </c>
      <c r="AE48" s="21">
        <f t="shared" si="18"/>
        <v>0</v>
      </c>
      <c r="AF48" s="16">
        <v>0</v>
      </c>
      <c r="AG48" s="16">
        <v>0</v>
      </c>
      <c r="AH48" s="16">
        <v>0</v>
      </c>
      <c r="AI48" s="16">
        <v>0</v>
      </c>
      <c r="AJ48" s="16">
        <v>0</v>
      </c>
      <c r="AK48" s="16">
        <v>0</v>
      </c>
      <c r="AL48" s="16">
        <v>0</v>
      </c>
      <c r="AM48" s="16">
        <v>0</v>
      </c>
      <c r="AN48" s="16">
        <v>0</v>
      </c>
      <c r="AO48" s="16">
        <v>0</v>
      </c>
      <c r="AP48" s="16">
        <v>0</v>
      </c>
      <c r="AQ48" s="16">
        <v>0</v>
      </c>
    </row>
    <row r="49" spans="29:43" ht="19.5" customHeight="1" thickBot="1" x14ac:dyDescent="0.3">
      <c r="AC49" s="24" t="s">
        <v>207</v>
      </c>
      <c r="AD49" s="21">
        <f t="shared" si="21"/>
        <v>0</v>
      </c>
      <c r="AE49" s="21">
        <f t="shared" si="18"/>
        <v>0</v>
      </c>
      <c r="AF49" s="16">
        <v>0</v>
      </c>
      <c r="AG49" s="16">
        <v>0</v>
      </c>
      <c r="AH49" s="16">
        <v>0</v>
      </c>
      <c r="AI49" s="16">
        <v>0</v>
      </c>
      <c r="AJ49" s="16">
        <v>0</v>
      </c>
      <c r="AK49" s="16">
        <v>0</v>
      </c>
      <c r="AL49" s="16">
        <v>0</v>
      </c>
      <c r="AM49" s="16">
        <v>0</v>
      </c>
      <c r="AN49" s="16">
        <v>0</v>
      </c>
      <c r="AO49" s="16">
        <v>0</v>
      </c>
      <c r="AP49" s="16">
        <v>0</v>
      </c>
      <c r="AQ49" s="16">
        <v>0</v>
      </c>
    </row>
    <row r="50" spans="29:43" ht="33" customHeight="1" thickBot="1" x14ac:dyDescent="0.3">
      <c r="AC50" s="24" t="s">
        <v>208</v>
      </c>
      <c r="AD50" s="21">
        <f t="shared" si="21"/>
        <v>0</v>
      </c>
      <c r="AE50" s="21">
        <f t="shared" si="18"/>
        <v>0</v>
      </c>
      <c r="AF50" s="16">
        <v>0</v>
      </c>
      <c r="AG50" s="16">
        <v>0</v>
      </c>
      <c r="AH50" s="16">
        <v>0</v>
      </c>
      <c r="AI50" s="16">
        <v>0</v>
      </c>
      <c r="AJ50" s="16">
        <v>0</v>
      </c>
      <c r="AK50" s="16">
        <v>0</v>
      </c>
      <c r="AL50" s="16">
        <v>0</v>
      </c>
      <c r="AM50" s="16">
        <v>0</v>
      </c>
      <c r="AN50" s="16">
        <v>0</v>
      </c>
      <c r="AO50" s="16">
        <v>0</v>
      </c>
      <c r="AP50" s="16">
        <v>0</v>
      </c>
      <c r="AQ50" s="16">
        <v>0</v>
      </c>
    </row>
    <row r="51" spans="29:43" ht="33" customHeight="1" x14ac:dyDescent="0.25"/>
    <row r="52" spans="29:43" ht="19.5" customHeight="1" x14ac:dyDescent="0.25"/>
    <row r="53" spans="29:43" ht="19.5" customHeight="1" x14ac:dyDescent="0.25"/>
    <row r="54" spans="29:43" ht="19.5" customHeight="1" x14ac:dyDescent="0.25"/>
    <row r="55" spans="29:43" ht="19.5" customHeight="1" x14ac:dyDescent="0.25"/>
    <row r="56" spans="29:43" ht="19.5" customHeight="1" x14ac:dyDescent="0.25"/>
    <row r="57" spans="29:43" ht="19.5" customHeight="1" x14ac:dyDescent="0.25"/>
    <row r="58" spans="29:43" ht="19.5" customHeight="1" x14ac:dyDescent="0.25"/>
    <row r="59" spans="29:43" ht="19.5" customHeight="1" x14ac:dyDescent="0.25"/>
    <row r="60" spans="29:43" ht="19.5" customHeight="1" x14ac:dyDescent="0.25"/>
    <row r="61" spans="29:43" ht="19.5" customHeight="1" x14ac:dyDescent="0.25"/>
    <row r="62" spans="29:43" ht="19.5" customHeight="1" x14ac:dyDescent="0.25"/>
    <row r="63" spans="29:43" ht="19.5" customHeight="1" x14ac:dyDescent="0.25"/>
    <row r="64" spans="29:43" ht="19.5" customHeight="1" x14ac:dyDescent="0.25"/>
    <row r="65" ht="19.5" customHeight="1" x14ac:dyDescent="0.25"/>
    <row r="66" ht="19.5" customHeight="1" x14ac:dyDescent="0.25"/>
    <row r="68" ht="20.25" customHeight="1" x14ac:dyDescent="0.25"/>
    <row r="69" ht="20.25" customHeight="1" x14ac:dyDescent="0.25"/>
    <row r="70" ht="20.25" customHeight="1" x14ac:dyDescent="0.25"/>
    <row r="71" ht="20.25" customHeight="1" x14ac:dyDescent="0.25"/>
    <row r="73" ht="30.75" customHeight="1" x14ac:dyDescent="0.25"/>
    <row r="74" ht="21" customHeight="1" x14ac:dyDescent="0.25"/>
    <row r="75" ht="21" customHeight="1" x14ac:dyDescent="0.25"/>
    <row r="76" ht="21" customHeight="1" x14ac:dyDescent="0.25"/>
    <row r="77" ht="21" customHeight="1" x14ac:dyDescent="0.25"/>
    <row r="78" ht="21" customHeight="1" x14ac:dyDescent="0.25"/>
    <row r="80" ht="30.75" customHeight="1" x14ac:dyDescent="0.25"/>
    <row r="81" spans="1:15" ht="18.75" customHeight="1" x14ac:dyDescent="0.25"/>
    <row r="83" spans="1:15" ht="31.5" customHeight="1" x14ac:dyDescent="0.25"/>
    <row r="84" spans="1:15" ht="31.5" customHeight="1" x14ac:dyDescent="0.25"/>
    <row r="85" spans="1:15" ht="18" customHeight="1" x14ac:dyDescent="0.25"/>
    <row r="86" spans="1:15" ht="18" customHeight="1" x14ac:dyDescent="0.25"/>
    <row r="87" spans="1:15" ht="21.75" customHeight="1" x14ac:dyDescent="0.25"/>
    <row r="88" spans="1:15" ht="18.75" customHeight="1" x14ac:dyDescent="0.25"/>
    <row r="89" spans="1:15" ht="18.75" customHeight="1" x14ac:dyDescent="0.25"/>
    <row r="90" spans="1:15" ht="18.75" customHeight="1" x14ac:dyDescent="0.25"/>
    <row r="91" spans="1:15" s="17" customFormat="1" ht="27" customHeight="1" x14ac:dyDescent="0.25">
      <c r="A91" s="22"/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</row>
    <row r="93" spans="1:15" ht="24.75" customHeight="1" x14ac:dyDescent="0.25"/>
  </sheetData>
  <mergeCells count="13">
    <mergeCell ref="AC1:AC3"/>
    <mergeCell ref="AD1:AQ1"/>
    <mergeCell ref="AD2:AE2"/>
    <mergeCell ref="AC4:AQ4"/>
    <mergeCell ref="AT4:BH4"/>
    <mergeCell ref="AT1:AT3"/>
    <mergeCell ref="AU1:BH1"/>
    <mergeCell ref="AU2:AV2"/>
    <mergeCell ref="A41:O41"/>
    <mergeCell ref="A4:O4"/>
    <mergeCell ref="B1:O1"/>
    <mergeCell ref="B2:C2"/>
    <mergeCell ref="A1:A3"/>
  </mergeCells>
  <phoneticPr fontId="10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07"/>
  <sheetViews>
    <sheetView zoomScale="90" zoomScaleNormal="90" workbookViewId="0">
      <selection activeCell="B39" sqref="B39"/>
    </sheetView>
  </sheetViews>
  <sheetFormatPr defaultColWidth="9.140625" defaultRowHeight="12.75" x14ac:dyDescent="0.2"/>
  <cols>
    <col min="1" max="1" width="8.140625" style="14" customWidth="1"/>
    <col min="2" max="2" width="25.5703125" style="14" customWidth="1"/>
    <col min="3" max="3" width="15.7109375" style="14" customWidth="1"/>
    <col min="4" max="4" width="14.28515625" style="14" customWidth="1"/>
    <col min="5" max="5" width="17.85546875" style="14" customWidth="1"/>
    <col min="6" max="6" width="9.140625" style="14"/>
    <col min="7" max="7" width="13.7109375" style="14" customWidth="1"/>
    <col min="8" max="8" width="9.140625" style="14"/>
    <col min="9" max="9" width="17.85546875" style="14" customWidth="1"/>
    <col min="10" max="16384" width="9.140625" style="14"/>
  </cols>
  <sheetData>
    <row r="1" spans="1:9" ht="26.25" customHeight="1" thickBot="1" x14ac:dyDescent="0.25">
      <c r="A1" s="205" t="s">
        <v>607</v>
      </c>
      <c r="B1" s="205" t="s">
        <v>103</v>
      </c>
      <c r="C1" s="205" t="s">
        <v>15</v>
      </c>
      <c r="D1" s="205" t="s">
        <v>16</v>
      </c>
      <c r="E1" s="205" t="s">
        <v>17</v>
      </c>
      <c r="F1" s="208" t="s">
        <v>1</v>
      </c>
      <c r="G1" s="209"/>
      <c r="H1" s="210"/>
      <c r="I1" s="205" t="s">
        <v>213</v>
      </c>
    </row>
    <row r="2" spans="1:9" ht="15.75" customHeight="1" thickBot="1" x14ac:dyDescent="0.25">
      <c r="A2" s="206"/>
      <c r="B2" s="206"/>
      <c r="C2" s="206"/>
      <c r="D2" s="206"/>
      <c r="E2" s="206"/>
      <c r="F2" s="69" t="s">
        <v>8</v>
      </c>
      <c r="G2" s="69" t="s">
        <v>9</v>
      </c>
      <c r="H2" s="69" t="s">
        <v>10</v>
      </c>
      <c r="I2" s="206"/>
    </row>
    <row r="3" spans="1:9" ht="13.5" thickBot="1" x14ac:dyDescent="0.25">
      <c r="A3" s="8"/>
      <c r="B3" s="8" t="s">
        <v>113</v>
      </c>
      <c r="C3" s="7">
        <f>SUM(C4:C14)</f>
        <v>0</v>
      </c>
      <c r="D3" s="7">
        <f t="shared" ref="D3:H3" si="0">SUM(D4:D14)</f>
        <v>0</v>
      </c>
      <c r="E3" s="7">
        <f t="shared" si="0"/>
        <v>0</v>
      </c>
      <c r="F3" s="7">
        <f t="shared" si="0"/>
        <v>0</v>
      </c>
      <c r="G3" s="7">
        <f t="shared" si="0"/>
        <v>0</v>
      </c>
      <c r="H3" s="7">
        <f t="shared" si="0"/>
        <v>0</v>
      </c>
      <c r="I3" s="7">
        <f>SUM(I4:I14)</f>
        <v>0</v>
      </c>
    </row>
    <row r="4" spans="1:9" ht="13.5" thickBot="1" x14ac:dyDescent="0.25">
      <c r="A4" s="9">
        <v>1</v>
      </c>
      <c r="B4" s="9" t="s">
        <v>18</v>
      </c>
      <c r="C4" s="1"/>
      <c r="D4" s="1"/>
      <c r="E4" s="1"/>
      <c r="F4" s="2"/>
      <c r="G4" s="2"/>
      <c r="H4" s="2"/>
      <c r="I4" s="2"/>
    </row>
    <row r="5" spans="1:9" ht="13.5" thickBot="1" x14ac:dyDescent="0.25">
      <c r="A5" s="9">
        <v>2</v>
      </c>
      <c r="B5" s="9" t="s">
        <v>19</v>
      </c>
      <c r="C5" s="1"/>
      <c r="D5" s="1"/>
      <c r="E5" s="1"/>
      <c r="F5" s="2"/>
      <c r="G5" s="2"/>
      <c r="H5" s="2"/>
      <c r="I5" s="2"/>
    </row>
    <row r="6" spans="1:9" ht="13.5" thickBot="1" x14ac:dyDescent="0.25">
      <c r="A6" s="9">
        <v>3</v>
      </c>
      <c r="B6" s="9" t="s">
        <v>20</v>
      </c>
      <c r="C6" s="1"/>
      <c r="D6" s="1"/>
      <c r="E6" s="1"/>
      <c r="F6" s="2"/>
      <c r="G6" s="2"/>
      <c r="H6" s="2"/>
      <c r="I6" s="2"/>
    </row>
    <row r="7" spans="1:9" ht="13.5" thickBot="1" x14ac:dyDescent="0.25">
      <c r="A7" s="9">
        <v>4</v>
      </c>
      <c r="B7" s="9" t="s">
        <v>21</v>
      </c>
      <c r="C7" s="1"/>
      <c r="D7" s="1"/>
      <c r="E7" s="1"/>
      <c r="F7" s="2"/>
      <c r="G7" s="2"/>
      <c r="H7" s="2"/>
      <c r="I7" s="2"/>
    </row>
    <row r="8" spans="1:9" ht="13.5" thickBot="1" x14ac:dyDescent="0.25">
      <c r="A8" s="9">
        <v>5</v>
      </c>
      <c r="B8" s="9" t="s">
        <v>22</v>
      </c>
      <c r="C8" s="1"/>
      <c r="D8" s="1"/>
      <c r="E8" s="1"/>
      <c r="F8" s="2"/>
      <c r="G8" s="2"/>
      <c r="H8" s="2"/>
      <c r="I8" s="2"/>
    </row>
    <row r="9" spans="1:9" ht="13.5" thickBot="1" x14ac:dyDescent="0.25">
      <c r="A9" s="9">
        <v>6</v>
      </c>
      <c r="B9" s="9" t="s">
        <v>23</v>
      </c>
      <c r="C9" s="1"/>
      <c r="D9" s="1"/>
      <c r="E9" s="1"/>
      <c r="F9" s="2"/>
      <c r="G9" s="2"/>
      <c r="H9" s="2"/>
      <c r="I9" s="2"/>
    </row>
    <row r="10" spans="1:9" ht="13.5" thickBot="1" x14ac:dyDescent="0.25">
      <c r="A10" s="9">
        <v>7</v>
      </c>
      <c r="B10" s="9" t="s">
        <v>24</v>
      </c>
      <c r="C10" s="1"/>
      <c r="D10" s="1"/>
      <c r="E10" s="1"/>
      <c r="F10" s="2"/>
      <c r="G10" s="2"/>
      <c r="H10" s="2"/>
      <c r="I10" s="2"/>
    </row>
    <row r="11" spans="1:9" ht="13.5" thickBot="1" x14ac:dyDescent="0.25">
      <c r="A11" s="9">
        <v>8</v>
      </c>
      <c r="B11" s="9" t="s">
        <v>25</v>
      </c>
      <c r="C11" s="1"/>
      <c r="D11" s="1"/>
      <c r="E11" s="1"/>
      <c r="F11" s="2"/>
      <c r="G11" s="2"/>
      <c r="H11" s="2"/>
      <c r="I11" s="2"/>
    </row>
    <row r="12" spans="1:9" ht="13.5" thickBot="1" x14ac:dyDescent="0.25">
      <c r="A12" s="9">
        <v>9</v>
      </c>
      <c r="B12" s="9" t="s">
        <v>26</v>
      </c>
      <c r="C12" s="1"/>
      <c r="D12" s="1"/>
      <c r="E12" s="1"/>
      <c r="F12" s="2"/>
      <c r="G12" s="2"/>
      <c r="H12" s="2"/>
      <c r="I12" s="2"/>
    </row>
    <row r="13" spans="1:9" ht="15.75" customHeight="1" thickBot="1" x14ac:dyDescent="0.25">
      <c r="A13" s="9">
        <v>10</v>
      </c>
      <c r="B13" s="9" t="s">
        <v>27</v>
      </c>
      <c r="C13" s="1"/>
      <c r="D13" s="1"/>
      <c r="E13" s="1"/>
      <c r="F13" s="2"/>
      <c r="G13" s="2"/>
      <c r="H13" s="2"/>
      <c r="I13" s="2"/>
    </row>
    <row r="14" spans="1:9" ht="15" customHeight="1" thickBot="1" x14ac:dyDescent="0.25">
      <c r="A14" s="9">
        <v>11</v>
      </c>
      <c r="B14" s="9" t="s">
        <v>28</v>
      </c>
      <c r="C14" s="1"/>
      <c r="D14" s="1"/>
      <c r="E14" s="1"/>
      <c r="F14" s="2"/>
      <c r="G14" s="2"/>
      <c r="H14" s="2"/>
      <c r="I14" s="2"/>
    </row>
    <row r="15" spans="1:9" ht="13.5" thickBot="1" x14ac:dyDescent="0.25">
      <c r="A15" s="10"/>
      <c r="B15" s="10" t="s">
        <v>115</v>
      </c>
      <c r="C15" s="7">
        <f>SUM(C16:C25)</f>
        <v>0</v>
      </c>
      <c r="D15" s="7">
        <f t="shared" ref="D15:I15" si="1">SUM(D16:D25)</f>
        <v>0</v>
      </c>
      <c r="E15" s="7">
        <f t="shared" si="1"/>
        <v>0</v>
      </c>
      <c r="F15" s="7">
        <f t="shared" si="1"/>
        <v>0</v>
      </c>
      <c r="G15" s="7">
        <f t="shared" si="1"/>
        <v>0</v>
      </c>
      <c r="H15" s="7">
        <f t="shared" si="1"/>
        <v>0</v>
      </c>
      <c r="I15" s="7">
        <f t="shared" si="1"/>
        <v>0</v>
      </c>
    </row>
    <row r="16" spans="1:9" ht="13.5" thickBot="1" x14ac:dyDescent="0.25">
      <c r="A16" s="9">
        <v>12</v>
      </c>
      <c r="B16" s="9" t="s">
        <v>29</v>
      </c>
      <c r="C16" s="1"/>
      <c r="D16" s="2"/>
      <c r="E16" s="2"/>
      <c r="F16" s="2"/>
      <c r="G16" s="2"/>
      <c r="H16" s="2"/>
      <c r="I16" s="2"/>
    </row>
    <row r="17" spans="1:9" ht="13.5" thickBot="1" x14ac:dyDescent="0.25">
      <c r="A17" s="9">
        <v>13</v>
      </c>
      <c r="B17" s="9" t="s">
        <v>30</v>
      </c>
      <c r="C17" s="1"/>
      <c r="D17" s="2"/>
      <c r="E17" s="2"/>
      <c r="F17" s="2"/>
      <c r="G17" s="2"/>
      <c r="H17" s="2"/>
      <c r="I17" s="2"/>
    </row>
    <row r="18" spans="1:9" ht="13.5" thickBot="1" x14ac:dyDescent="0.25">
      <c r="A18" s="9">
        <v>14</v>
      </c>
      <c r="B18" s="9" t="s">
        <v>31</v>
      </c>
      <c r="C18" s="1"/>
      <c r="D18" s="2"/>
      <c r="E18" s="2"/>
      <c r="F18" s="2"/>
      <c r="G18" s="2"/>
      <c r="H18" s="2"/>
      <c r="I18" s="2"/>
    </row>
    <row r="19" spans="1:9" ht="13.5" thickBot="1" x14ac:dyDescent="0.25">
      <c r="A19" s="9">
        <v>15</v>
      </c>
      <c r="B19" s="11" t="s">
        <v>32</v>
      </c>
      <c r="C19" s="1"/>
      <c r="D19" s="2"/>
      <c r="E19" s="2"/>
      <c r="F19" s="2"/>
      <c r="G19" s="2"/>
      <c r="H19" s="2"/>
      <c r="I19" s="2"/>
    </row>
    <row r="20" spans="1:9" ht="13.5" thickBot="1" x14ac:dyDescent="0.25">
      <c r="A20" s="9">
        <v>16</v>
      </c>
      <c r="B20" s="9" t="s">
        <v>33</v>
      </c>
      <c r="C20" s="1"/>
      <c r="D20" s="2"/>
      <c r="E20" s="2"/>
      <c r="F20" s="2"/>
      <c r="G20" s="2"/>
      <c r="H20" s="2"/>
      <c r="I20" s="2"/>
    </row>
    <row r="21" spans="1:9" ht="13.5" thickBot="1" x14ac:dyDescent="0.25">
      <c r="A21" s="9">
        <v>17</v>
      </c>
      <c r="B21" s="9" t="s">
        <v>34</v>
      </c>
      <c r="C21" s="1"/>
      <c r="D21" s="2"/>
      <c r="E21" s="2"/>
      <c r="F21" s="2"/>
      <c r="G21" s="2"/>
      <c r="H21" s="2"/>
      <c r="I21" s="2"/>
    </row>
    <row r="22" spans="1:9" ht="26.25" thickBot="1" x14ac:dyDescent="0.25">
      <c r="A22" s="9">
        <v>18</v>
      </c>
      <c r="B22" s="9" t="s">
        <v>35</v>
      </c>
      <c r="C22" s="1"/>
      <c r="D22" s="2"/>
      <c r="E22" s="2"/>
      <c r="F22" s="2"/>
      <c r="G22" s="2"/>
      <c r="H22" s="2"/>
      <c r="I22" s="2"/>
    </row>
    <row r="23" spans="1:9" ht="13.5" thickBot="1" x14ac:dyDescent="0.25">
      <c r="A23" s="9">
        <v>19</v>
      </c>
      <c r="B23" s="9" t="s">
        <v>36</v>
      </c>
      <c r="C23" s="1"/>
      <c r="D23" s="2"/>
      <c r="E23" s="2"/>
      <c r="F23" s="2"/>
      <c r="G23" s="2"/>
      <c r="H23" s="2"/>
      <c r="I23" s="2"/>
    </row>
    <row r="24" spans="1:9" ht="13.5" thickBot="1" x14ac:dyDescent="0.25">
      <c r="A24" s="9">
        <v>20</v>
      </c>
      <c r="B24" s="9" t="s">
        <v>37</v>
      </c>
      <c r="C24" s="1"/>
      <c r="D24" s="2"/>
      <c r="E24" s="2"/>
      <c r="F24" s="2"/>
      <c r="G24" s="2"/>
      <c r="H24" s="2"/>
      <c r="I24" s="2"/>
    </row>
    <row r="25" spans="1:9" ht="13.5" thickBot="1" x14ac:dyDescent="0.25">
      <c r="A25" s="9">
        <v>21</v>
      </c>
      <c r="B25" s="9" t="s">
        <v>38</v>
      </c>
      <c r="C25" s="1"/>
      <c r="D25" s="2"/>
      <c r="E25" s="2"/>
      <c r="F25" s="2"/>
      <c r="G25" s="2"/>
      <c r="H25" s="2"/>
      <c r="I25" s="2"/>
    </row>
    <row r="26" spans="1:9" ht="13.5" thickBot="1" x14ac:dyDescent="0.25">
      <c r="A26" s="10"/>
      <c r="B26" s="10" t="s">
        <v>116</v>
      </c>
      <c r="C26" s="7">
        <f>SUM(C27:C32)</f>
        <v>0</v>
      </c>
      <c r="D26" s="7">
        <f t="shared" ref="D26:I26" si="2">SUM(D27:D32)</f>
        <v>0</v>
      </c>
      <c r="E26" s="7">
        <f t="shared" si="2"/>
        <v>0</v>
      </c>
      <c r="F26" s="7">
        <f t="shared" si="2"/>
        <v>0</v>
      </c>
      <c r="G26" s="7">
        <f t="shared" si="2"/>
        <v>0</v>
      </c>
      <c r="H26" s="7">
        <f t="shared" si="2"/>
        <v>0</v>
      </c>
      <c r="I26" s="7">
        <f t="shared" si="2"/>
        <v>0</v>
      </c>
    </row>
    <row r="27" spans="1:9" ht="13.5" thickBot="1" x14ac:dyDescent="0.25">
      <c r="A27" s="9">
        <v>22</v>
      </c>
      <c r="B27" s="9" t="s">
        <v>39</v>
      </c>
      <c r="C27" s="1"/>
      <c r="D27" s="2"/>
      <c r="E27" s="2"/>
      <c r="F27" s="2"/>
      <c r="G27" s="2"/>
      <c r="H27" s="2"/>
      <c r="I27" s="2"/>
    </row>
    <row r="28" spans="1:9" ht="13.5" thickBot="1" x14ac:dyDescent="0.25">
      <c r="A28" s="9">
        <v>23</v>
      </c>
      <c r="B28" s="9" t="s">
        <v>40</v>
      </c>
      <c r="C28" s="1"/>
      <c r="D28" s="2"/>
      <c r="E28" s="2"/>
      <c r="F28" s="2"/>
      <c r="G28" s="2"/>
      <c r="H28" s="2"/>
      <c r="I28" s="2"/>
    </row>
    <row r="29" spans="1:9" ht="13.5" thickBot="1" x14ac:dyDescent="0.25">
      <c r="A29" s="9">
        <v>24</v>
      </c>
      <c r="B29" s="9" t="s">
        <v>41</v>
      </c>
      <c r="C29" s="1"/>
      <c r="D29" s="2"/>
      <c r="E29" s="2"/>
      <c r="F29" s="2"/>
      <c r="G29" s="2"/>
      <c r="H29" s="2"/>
      <c r="I29" s="2"/>
    </row>
    <row r="30" spans="1:9" ht="13.5" thickBot="1" x14ac:dyDescent="0.25">
      <c r="A30" s="9">
        <v>25</v>
      </c>
      <c r="B30" s="9" t="s">
        <v>42</v>
      </c>
      <c r="C30" s="1"/>
      <c r="D30" s="2"/>
      <c r="E30" s="2"/>
      <c r="F30" s="2"/>
      <c r="G30" s="2"/>
      <c r="H30" s="2"/>
      <c r="I30" s="2"/>
    </row>
    <row r="31" spans="1:9" ht="26.25" thickBot="1" x14ac:dyDescent="0.25">
      <c r="A31" s="9">
        <v>26</v>
      </c>
      <c r="B31" s="9" t="s">
        <v>43</v>
      </c>
      <c r="C31" s="1"/>
      <c r="D31" s="2"/>
      <c r="E31" s="2"/>
      <c r="F31" s="2"/>
      <c r="G31" s="2"/>
      <c r="H31" s="2"/>
      <c r="I31" s="2"/>
    </row>
    <row r="32" spans="1:9" ht="26.25" thickBot="1" x14ac:dyDescent="0.25">
      <c r="A32" s="9">
        <v>27</v>
      </c>
      <c r="B32" s="9" t="s">
        <v>44</v>
      </c>
      <c r="C32" s="1"/>
      <c r="D32" s="2"/>
      <c r="E32" s="2"/>
      <c r="F32" s="2"/>
      <c r="G32" s="2"/>
      <c r="H32" s="2"/>
      <c r="I32" s="2"/>
    </row>
    <row r="33" spans="1:9" ht="13.5" thickBot="1" x14ac:dyDescent="0.25">
      <c r="A33" s="8"/>
      <c r="B33" s="8" t="s">
        <v>117</v>
      </c>
      <c r="C33" s="7">
        <f>SUM(C34:C47)</f>
        <v>0</v>
      </c>
      <c r="D33" s="7">
        <f t="shared" ref="D33:I33" si="3">SUM(D34:D47)</f>
        <v>0</v>
      </c>
      <c r="E33" s="7">
        <f t="shared" si="3"/>
        <v>0</v>
      </c>
      <c r="F33" s="7">
        <f t="shared" si="3"/>
        <v>0</v>
      </c>
      <c r="G33" s="7">
        <f t="shared" si="3"/>
        <v>0</v>
      </c>
      <c r="H33" s="7">
        <f t="shared" si="3"/>
        <v>0</v>
      </c>
      <c r="I33" s="7">
        <f t="shared" si="3"/>
        <v>0</v>
      </c>
    </row>
    <row r="34" spans="1:9" ht="13.5" thickBot="1" x14ac:dyDescent="0.25">
      <c r="A34" s="11">
        <v>28</v>
      </c>
      <c r="B34" s="11" t="s">
        <v>45</v>
      </c>
      <c r="C34" s="1"/>
      <c r="D34" s="2"/>
      <c r="E34" s="2"/>
      <c r="F34" s="2"/>
      <c r="G34" s="2"/>
      <c r="H34" s="2"/>
      <c r="I34" s="2"/>
    </row>
    <row r="35" spans="1:9" ht="13.5" thickBot="1" x14ac:dyDescent="0.25">
      <c r="A35" s="11">
        <v>29</v>
      </c>
      <c r="B35" s="11" t="s">
        <v>46</v>
      </c>
      <c r="C35" s="1"/>
      <c r="D35" s="2"/>
      <c r="E35" s="2"/>
      <c r="F35" s="2"/>
      <c r="G35" s="2"/>
      <c r="H35" s="2"/>
      <c r="I35" s="2"/>
    </row>
    <row r="36" spans="1:9" ht="13.5" thickBot="1" x14ac:dyDescent="0.25">
      <c r="A36" s="11">
        <v>30</v>
      </c>
      <c r="B36" s="11" t="s">
        <v>47</v>
      </c>
      <c r="C36" s="1"/>
      <c r="D36" s="2"/>
      <c r="E36" s="2"/>
      <c r="F36" s="2"/>
      <c r="G36" s="2"/>
      <c r="H36" s="2"/>
      <c r="I36" s="2"/>
    </row>
    <row r="37" spans="1:9" ht="13.5" thickBot="1" x14ac:dyDescent="0.25">
      <c r="A37" s="11">
        <v>31</v>
      </c>
      <c r="B37" s="11" t="s">
        <v>48</v>
      </c>
      <c r="C37" s="1"/>
      <c r="D37" s="2"/>
      <c r="E37" s="2"/>
      <c r="F37" s="2"/>
      <c r="G37" s="2"/>
      <c r="H37" s="2"/>
      <c r="I37" s="2"/>
    </row>
    <row r="38" spans="1:9" ht="13.5" thickBot="1" x14ac:dyDescent="0.25">
      <c r="A38" s="11">
        <v>32</v>
      </c>
      <c r="B38" s="11" t="s">
        <v>49</v>
      </c>
      <c r="C38" s="1"/>
      <c r="D38" s="2"/>
      <c r="E38" s="2"/>
      <c r="F38" s="2"/>
      <c r="G38" s="2"/>
      <c r="H38" s="2"/>
      <c r="I38" s="2"/>
    </row>
    <row r="39" spans="1:9" ht="26.25" thickBot="1" x14ac:dyDescent="0.25">
      <c r="A39" s="11">
        <v>33</v>
      </c>
      <c r="B39" s="277" t="s">
        <v>618</v>
      </c>
      <c r="C39" s="1"/>
      <c r="D39" s="2"/>
      <c r="E39" s="2"/>
      <c r="F39" s="2"/>
      <c r="G39" s="2"/>
      <c r="H39" s="2"/>
      <c r="I39" s="2"/>
    </row>
    <row r="40" spans="1:9" ht="13.5" thickBot="1" x14ac:dyDescent="0.25">
      <c r="A40" s="11">
        <v>34</v>
      </c>
      <c r="B40" s="11" t="s">
        <v>51</v>
      </c>
      <c r="C40" s="1"/>
      <c r="D40" s="2"/>
      <c r="E40" s="2"/>
      <c r="F40" s="2"/>
      <c r="G40" s="2"/>
      <c r="H40" s="2"/>
      <c r="I40" s="2"/>
    </row>
    <row r="41" spans="1:9" ht="13.5" thickBot="1" x14ac:dyDescent="0.25">
      <c r="A41" s="11">
        <v>35</v>
      </c>
      <c r="B41" s="11" t="s">
        <v>52</v>
      </c>
      <c r="C41" s="1"/>
      <c r="D41" s="2"/>
      <c r="E41" s="2"/>
      <c r="F41" s="2"/>
      <c r="G41" s="2"/>
      <c r="H41" s="2"/>
      <c r="I41" s="2"/>
    </row>
    <row r="42" spans="1:9" ht="13.5" thickBot="1" x14ac:dyDescent="0.25">
      <c r="A42" s="11">
        <v>36</v>
      </c>
      <c r="B42" s="11" t="s">
        <v>53</v>
      </c>
      <c r="C42" s="1"/>
      <c r="D42" s="2"/>
      <c r="E42" s="2"/>
      <c r="F42" s="2"/>
      <c r="G42" s="2"/>
      <c r="H42" s="2"/>
      <c r="I42" s="2"/>
    </row>
    <row r="43" spans="1:9" ht="13.5" thickBot="1" x14ac:dyDescent="0.25">
      <c r="A43" s="11">
        <v>37</v>
      </c>
      <c r="B43" s="11" t="s">
        <v>54</v>
      </c>
      <c r="C43" s="1"/>
      <c r="D43" s="2"/>
      <c r="E43" s="2"/>
      <c r="F43" s="2"/>
      <c r="G43" s="2"/>
      <c r="H43" s="2"/>
      <c r="I43" s="2"/>
    </row>
    <row r="44" spans="1:9" ht="13.5" thickBot="1" x14ac:dyDescent="0.25">
      <c r="A44" s="11">
        <v>38</v>
      </c>
      <c r="B44" s="11" t="s">
        <v>55</v>
      </c>
      <c r="C44" s="1"/>
      <c r="D44" s="2"/>
      <c r="E44" s="2"/>
      <c r="F44" s="2"/>
      <c r="G44" s="2"/>
      <c r="H44" s="2"/>
      <c r="I44" s="2"/>
    </row>
    <row r="45" spans="1:9" ht="13.5" thickBot="1" x14ac:dyDescent="0.25">
      <c r="A45" s="11">
        <v>39</v>
      </c>
      <c r="B45" s="11" t="s">
        <v>56</v>
      </c>
      <c r="C45" s="1"/>
      <c r="D45" s="2"/>
      <c r="E45" s="2"/>
      <c r="F45" s="2"/>
      <c r="G45" s="2"/>
      <c r="H45" s="2"/>
      <c r="I45" s="2"/>
    </row>
    <row r="46" spans="1:9" ht="13.5" thickBot="1" x14ac:dyDescent="0.25">
      <c r="A46" s="11">
        <v>40</v>
      </c>
      <c r="B46" s="11" t="s">
        <v>57</v>
      </c>
      <c r="C46" s="1"/>
      <c r="D46" s="2"/>
      <c r="E46" s="2"/>
      <c r="F46" s="2"/>
      <c r="G46" s="2"/>
      <c r="H46" s="2"/>
      <c r="I46" s="2"/>
    </row>
    <row r="47" spans="1:9" ht="13.5" thickBot="1" x14ac:dyDescent="0.25">
      <c r="A47" s="11">
        <v>41</v>
      </c>
      <c r="B47" s="11" t="s">
        <v>58</v>
      </c>
      <c r="C47" s="1"/>
      <c r="D47" s="2"/>
      <c r="E47" s="2"/>
      <c r="F47" s="2"/>
      <c r="G47" s="2"/>
      <c r="H47" s="2"/>
      <c r="I47" s="2"/>
    </row>
    <row r="48" spans="1:9" ht="13.5" thickBot="1" x14ac:dyDescent="0.25">
      <c r="A48" s="8"/>
      <c r="B48" s="8" t="s">
        <v>118</v>
      </c>
      <c r="C48" s="7">
        <f>SUM(C49:C56)</f>
        <v>0</v>
      </c>
      <c r="D48" s="7">
        <f t="shared" ref="D48:I48" si="4">SUM(D49:D56)</f>
        <v>0</v>
      </c>
      <c r="E48" s="7">
        <f t="shared" si="4"/>
        <v>0</v>
      </c>
      <c r="F48" s="7">
        <f t="shared" si="4"/>
        <v>0</v>
      </c>
      <c r="G48" s="7">
        <f t="shared" si="4"/>
        <v>0</v>
      </c>
      <c r="H48" s="7">
        <f t="shared" si="4"/>
        <v>0</v>
      </c>
      <c r="I48" s="7">
        <f t="shared" si="4"/>
        <v>0</v>
      </c>
    </row>
    <row r="49" spans="1:9" ht="13.5" thickBot="1" x14ac:dyDescent="0.25">
      <c r="A49" s="9">
        <v>42</v>
      </c>
      <c r="B49" s="9" t="s">
        <v>59</v>
      </c>
      <c r="C49" s="1"/>
      <c r="D49" s="2"/>
      <c r="E49" s="2"/>
      <c r="F49" s="2"/>
      <c r="G49" s="2"/>
      <c r="H49" s="2"/>
      <c r="I49" s="2"/>
    </row>
    <row r="50" spans="1:9" ht="13.5" thickBot="1" x14ac:dyDescent="0.25">
      <c r="A50" s="9">
        <v>43</v>
      </c>
      <c r="B50" s="9" t="s">
        <v>60</v>
      </c>
      <c r="C50" s="1"/>
      <c r="D50" s="2"/>
      <c r="E50" s="2"/>
      <c r="F50" s="2"/>
      <c r="G50" s="2"/>
      <c r="H50" s="2"/>
      <c r="I50" s="2"/>
    </row>
    <row r="51" spans="1:9" ht="13.5" thickBot="1" x14ac:dyDescent="0.25">
      <c r="A51" s="9">
        <v>44</v>
      </c>
      <c r="B51" s="11" t="s">
        <v>61</v>
      </c>
      <c r="C51" s="1"/>
      <c r="D51" s="2"/>
      <c r="E51" s="2"/>
      <c r="F51" s="2"/>
      <c r="G51" s="2"/>
      <c r="H51" s="2"/>
      <c r="I51" s="2"/>
    </row>
    <row r="52" spans="1:9" ht="13.5" thickBot="1" x14ac:dyDescent="0.25">
      <c r="A52" s="9">
        <v>45</v>
      </c>
      <c r="B52" s="9" t="s">
        <v>62</v>
      </c>
      <c r="C52" s="1"/>
      <c r="D52" s="2"/>
      <c r="E52" s="2"/>
      <c r="F52" s="2"/>
      <c r="G52" s="2"/>
      <c r="H52" s="2"/>
      <c r="I52" s="2"/>
    </row>
    <row r="53" spans="1:9" ht="13.5" thickBot="1" x14ac:dyDescent="0.25">
      <c r="A53" s="9">
        <v>46</v>
      </c>
      <c r="B53" s="9" t="s">
        <v>63</v>
      </c>
      <c r="C53" s="1"/>
      <c r="D53" s="2"/>
      <c r="E53" s="2"/>
      <c r="F53" s="2"/>
      <c r="G53" s="2"/>
      <c r="H53" s="2"/>
      <c r="I53" s="2"/>
    </row>
    <row r="54" spans="1:9" ht="13.5" thickBot="1" x14ac:dyDescent="0.25">
      <c r="A54" s="9">
        <v>47</v>
      </c>
      <c r="B54" s="9" t="s">
        <v>64</v>
      </c>
      <c r="C54" s="1"/>
      <c r="D54" s="2"/>
      <c r="E54" s="2"/>
      <c r="F54" s="2"/>
      <c r="G54" s="2"/>
      <c r="H54" s="2"/>
      <c r="I54" s="2"/>
    </row>
    <row r="55" spans="1:9" ht="13.5" thickBot="1" x14ac:dyDescent="0.25">
      <c r="A55" s="9">
        <v>48</v>
      </c>
      <c r="B55" s="9" t="s">
        <v>65</v>
      </c>
      <c r="C55" s="1"/>
      <c r="D55" s="2"/>
      <c r="E55" s="2"/>
      <c r="F55" s="2"/>
      <c r="G55" s="2"/>
      <c r="H55" s="2"/>
      <c r="I55" s="2"/>
    </row>
    <row r="56" spans="1:9" ht="13.5" thickBot="1" x14ac:dyDescent="0.25">
      <c r="A56" s="9">
        <v>49</v>
      </c>
      <c r="B56" s="11" t="s">
        <v>66</v>
      </c>
      <c r="C56" s="1"/>
      <c r="D56" s="2"/>
      <c r="E56" s="2"/>
      <c r="F56" s="2"/>
      <c r="G56" s="2"/>
      <c r="H56" s="2"/>
      <c r="I56" s="2"/>
    </row>
    <row r="57" spans="1:9" ht="13.5" thickBot="1" x14ac:dyDescent="0.25">
      <c r="A57" s="8"/>
      <c r="B57" s="8" t="s">
        <v>119</v>
      </c>
      <c r="C57" s="7">
        <f>SUM(C58:C64)</f>
        <v>0</v>
      </c>
      <c r="D57" s="7">
        <f t="shared" ref="D57:I57" si="5">SUM(D58:D64)</f>
        <v>0</v>
      </c>
      <c r="E57" s="7">
        <f t="shared" si="5"/>
        <v>0</v>
      </c>
      <c r="F57" s="7">
        <f t="shared" si="5"/>
        <v>0</v>
      </c>
      <c r="G57" s="7">
        <f t="shared" si="5"/>
        <v>0</v>
      </c>
      <c r="H57" s="7">
        <f t="shared" si="5"/>
        <v>0</v>
      </c>
      <c r="I57" s="7">
        <f t="shared" si="5"/>
        <v>0</v>
      </c>
    </row>
    <row r="58" spans="1:9" ht="13.5" thickBot="1" x14ac:dyDescent="0.25">
      <c r="A58" s="11">
        <v>50</v>
      </c>
      <c r="B58" s="11" t="s">
        <v>67</v>
      </c>
      <c r="C58" s="1"/>
      <c r="D58" s="2"/>
      <c r="E58" s="2"/>
      <c r="F58" s="2"/>
      <c r="G58" s="2"/>
      <c r="H58" s="2"/>
      <c r="I58" s="2"/>
    </row>
    <row r="59" spans="1:9" ht="13.5" thickBot="1" x14ac:dyDescent="0.25">
      <c r="A59" s="11">
        <v>51</v>
      </c>
      <c r="B59" s="11" t="s">
        <v>68</v>
      </c>
      <c r="C59" s="1"/>
      <c r="D59" s="2"/>
      <c r="E59" s="2"/>
      <c r="F59" s="2"/>
      <c r="G59" s="2"/>
      <c r="H59" s="2"/>
      <c r="I59" s="2"/>
    </row>
    <row r="60" spans="1:9" ht="26.25" thickBot="1" x14ac:dyDescent="0.25">
      <c r="A60" s="11">
        <v>52</v>
      </c>
      <c r="B60" s="9" t="s">
        <v>69</v>
      </c>
      <c r="C60" s="1"/>
      <c r="D60" s="2"/>
      <c r="E60" s="2"/>
      <c r="F60" s="2"/>
      <c r="G60" s="2"/>
      <c r="H60" s="2"/>
      <c r="I60" s="2"/>
    </row>
    <row r="61" spans="1:9" ht="26.25" thickBot="1" x14ac:dyDescent="0.25">
      <c r="A61" s="11">
        <v>53</v>
      </c>
      <c r="B61" s="9" t="s">
        <v>70</v>
      </c>
      <c r="C61" s="1"/>
      <c r="D61" s="2"/>
      <c r="E61" s="2"/>
      <c r="F61" s="2"/>
      <c r="G61" s="2"/>
      <c r="H61" s="2"/>
      <c r="I61" s="2"/>
    </row>
    <row r="62" spans="1:9" ht="26.25" thickBot="1" x14ac:dyDescent="0.25">
      <c r="A62" s="11">
        <v>54</v>
      </c>
      <c r="B62" s="9" t="s">
        <v>71</v>
      </c>
      <c r="C62" s="1"/>
      <c r="D62" s="2"/>
      <c r="E62" s="2"/>
      <c r="F62" s="2"/>
      <c r="G62" s="2"/>
      <c r="H62" s="2"/>
      <c r="I62" s="2"/>
    </row>
    <row r="63" spans="1:9" ht="13.5" thickBot="1" x14ac:dyDescent="0.25">
      <c r="A63" s="11">
        <v>55</v>
      </c>
      <c r="B63" s="11" t="s">
        <v>72</v>
      </c>
      <c r="C63" s="1"/>
      <c r="D63" s="2"/>
      <c r="E63" s="2"/>
      <c r="F63" s="2"/>
      <c r="G63" s="2"/>
      <c r="H63" s="2"/>
      <c r="I63" s="2"/>
    </row>
    <row r="64" spans="1:9" ht="13.5" thickBot="1" x14ac:dyDescent="0.25">
      <c r="A64" s="11">
        <v>56</v>
      </c>
      <c r="B64" s="11" t="s">
        <v>73</v>
      </c>
      <c r="C64" s="1"/>
      <c r="D64" s="2"/>
      <c r="E64" s="2"/>
      <c r="F64" s="2"/>
      <c r="G64" s="2"/>
      <c r="H64" s="2"/>
      <c r="I64" s="2"/>
    </row>
    <row r="65" spans="1:9" ht="13.5" thickBot="1" x14ac:dyDescent="0.25">
      <c r="A65" s="8"/>
      <c r="B65" s="8" t="s">
        <v>120</v>
      </c>
      <c r="C65" s="7">
        <f>SUM(C66:C76)</f>
        <v>0</v>
      </c>
      <c r="D65" s="7">
        <f t="shared" ref="D65:I65" si="6">SUM(D66:D76)</f>
        <v>0</v>
      </c>
      <c r="E65" s="7">
        <f t="shared" si="6"/>
        <v>0</v>
      </c>
      <c r="F65" s="7">
        <f t="shared" si="6"/>
        <v>0</v>
      </c>
      <c r="G65" s="7">
        <f t="shared" si="6"/>
        <v>0</v>
      </c>
      <c r="H65" s="7">
        <f t="shared" si="6"/>
        <v>0</v>
      </c>
      <c r="I65" s="7">
        <f t="shared" si="6"/>
        <v>0</v>
      </c>
    </row>
    <row r="66" spans="1:9" ht="13.5" thickBot="1" x14ac:dyDescent="0.25">
      <c r="A66" s="11">
        <v>57</v>
      </c>
      <c r="B66" s="11" t="s">
        <v>74</v>
      </c>
      <c r="C66" s="1"/>
      <c r="D66" s="2"/>
      <c r="E66" s="2"/>
      <c r="F66" s="2"/>
      <c r="G66" s="2"/>
      <c r="H66" s="2"/>
      <c r="I66" s="2"/>
    </row>
    <row r="67" spans="1:9" ht="13.5" thickBot="1" x14ac:dyDescent="0.25">
      <c r="A67" s="9">
        <v>58</v>
      </c>
      <c r="B67" s="9" t="s">
        <v>75</v>
      </c>
      <c r="C67" s="1"/>
      <c r="D67" s="2"/>
      <c r="E67" s="2"/>
      <c r="F67" s="2"/>
      <c r="G67" s="2"/>
      <c r="H67" s="2"/>
      <c r="I67" s="2"/>
    </row>
    <row r="68" spans="1:9" ht="13.5" thickBot="1" x14ac:dyDescent="0.25">
      <c r="A68" s="11">
        <v>59</v>
      </c>
      <c r="B68" s="11" t="s">
        <v>76</v>
      </c>
      <c r="C68" s="1"/>
      <c r="D68" s="2"/>
      <c r="E68" s="2"/>
      <c r="F68" s="2"/>
      <c r="G68" s="2"/>
      <c r="H68" s="2"/>
      <c r="I68" s="2"/>
    </row>
    <row r="69" spans="1:9" ht="13.5" thickBot="1" x14ac:dyDescent="0.25">
      <c r="A69" s="9">
        <v>60</v>
      </c>
      <c r="B69" s="11" t="s">
        <v>77</v>
      </c>
      <c r="C69" s="1"/>
      <c r="D69" s="2"/>
      <c r="E69" s="2"/>
      <c r="F69" s="2"/>
      <c r="G69" s="2"/>
      <c r="H69" s="2"/>
      <c r="I69" s="2"/>
    </row>
    <row r="70" spans="1:9" ht="13.5" thickBot="1" x14ac:dyDescent="0.25">
      <c r="A70" s="11">
        <v>61</v>
      </c>
      <c r="B70" s="9" t="s">
        <v>78</v>
      </c>
      <c r="C70" s="1"/>
      <c r="D70" s="2"/>
      <c r="E70" s="2"/>
      <c r="F70" s="2"/>
      <c r="G70" s="2"/>
      <c r="H70" s="2"/>
      <c r="I70" s="2"/>
    </row>
    <row r="71" spans="1:9" ht="13.5" thickBot="1" x14ac:dyDescent="0.25">
      <c r="A71" s="9">
        <v>62</v>
      </c>
      <c r="B71" s="11" t="s">
        <v>79</v>
      </c>
      <c r="C71" s="1"/>
      <c r="D71" s="2"/>
      <c r="E71" s="2"/>
      <c r="F71" s="2"/>
      <c r="G71" s="2"/>
      <c r="H71" s="2"/>
      <c r="I71" s="2"/>
    </row>
    <row r="72" spans="1:9" ht="13.5" thickBot="1" x14ac:dyDescent="0.25">
      <c r="A72" s="11">
        <v>63</v>
      </c>
      <c r="B72" s="11" t="s">
        <v>80</v>
      </c>
      <c r="C72" s="1"/>
      <c r="D72" s="2"/>
      <c r="E72" s="2"/>
      <c r="F72" s="2"/>
      <c r="G72" s="2"/>
      <c r="H72" s="2"/>
      <c r="I72" s="2"/>
    </row>
    <row r="73" spans="1:9" ht="13.5" thickBot="1" x14ac:dyDescent="0.25">
      <c r="A73" s="9">
        <v>64</v>
      </c>
      <c r="B73" s="11" t="s">
        <v>81</v>
      </c>
      <c r="C73" s="1"/>
      <c r="D73" s="2"/>
      <c r="E73" s="2"/>
      <c r="F73" s="2"/>
      <c r="G73" s="2"/>
      <c r="H73" s="2"/>
      <c r="I73" s="2"/>
    </row>
    <row r="74" spans="1:9" ht="13.5" thickBot="1" x14ac:dyDescent="0.25">
      <c r="A74" s="11">
        <v>65</v>
      </c>
      <c r="B74" s="9" t="s">
        <v>82</v>
      </c>
      <c r="C74" s="1"/>
      <c r="D74" s="2"/>
      <c r="E74" s="2"/>
      <c r="F74" s="2"/>
      <c r="G74" s="2"/>
      <c r="H74" s="2"/>
      <c r="I74" s="2"/>
    </row>
    <row r="75" spans="1:9" ht="15.75" customHeight="1" thickBot="1" x14ac:dyDescent="0.25">
      <c r="A75" s="9">
        <v>66</v>
      </c>
      <c r="B75" s="9" t="s">
        <v>83</v>
      </c>
      <c r="C75" s="1"/>
      <c r="D75" s="2"/>
      <c r="E75" s="2"/>
      <c r="F75" s="2"/>
      <c r="G75" s="2"/>
      <c r="H75" s="2"/>
      <c r="I75" s="2"/>
    </row>
    <row r="76" spans="1:9" ht="13.5" thickBot="1" x14ac:dyDescent="0.25">
      <c r="A76" s="11">
        <v>67</v>
      </c>
      <c r="B76" s="9" t="s">
        <v>84</v>
      </c>
      <c r="C76" s="1"/>
      <c r="D76" s="2"/>
      <c r="E76" s="2"/>
      <c r="F76" s="2"/>
      <c r="G76" s="2"/>
      <c r="H76" s="2"/>
      <c r="I76" s="2"/>
    </row>
    <row r="77" spans="1:9" ht="13.5" thickBot="1" x14ac:dyDescent="0.25">
      <c r="A77" s="10"/>
      <c r="B77" s="10" t="s">
        <v>121</v>
      </c>
      <c r="C77" s="7">
        <f t="shared" ref="C77:I77" si="7">SUM(C78:C95)</f>
        <v>0</v>
      </c>
      <c r="D77" s="7">
        <f t="shared" si="7"/>
        <v>0</v>
      </c>
      <c r="E77" s="7">
        <f t="shared" si="7"/>
        <v>0</v>
      </c>
      <c r="F77" s="7">
        <f t="shared" si="7"/>
        <v>0</v>
      </c>
      <c r="G77" s="7">
        <f t="shared" si="7"/>
        <v>0</v>
      </c>
      <c r="H77" s="7">
        <f t="shared" si="7"/>
        <v>0</v>
      </c>
      <c r="I77" s="7">
        <f t="shared" si="7"/>
        <v>0</v>
      </c>
    </row>
    <row r="78" spans="1:9" ht="13.5" thickBot="1" x14ac:dyDescent="0.25">
      <c r="A78" s="9">
        <v>68</v>
      </c>
      <c r="B78" s="9" t="s">
        <v>85</v>
      </c>
      <c r="C78" s="1"/>
      <c r="D78" s="1"/>
      <c r="E78" s="1"/>
      <c r="F78" s="2"/>
      <c r="G78" s="2"/>
      <c r="H78" s="2"/>
      <c r="I78" s="2"/>
    </row>
    <row r="79" spans="1:9" ht="13.5" thickBot="1" x14ac:dyDescent="0.25">
      <c r="A79" s="9">
        <v>69</v>
      </c>
      <c r="B79" s="9" t="s">
        <v>86</v>
      </c>
      <c r="C79" s="1"/>
      <c r="D79" s="2"/>
      <c r="E79" s="2"/>
      <c r="F79" s="2"/>
      <c r="G79" s="2"/>
      <c r="H79" s="2"/>
      <c r="I79" s="2"/>
    </row>
    <row r="80" spans="1:9" ht="13.5" thickBot="1" x14ac:dyDescent="0.25">
      <c r="A80" s="9">
        <v>70</v>
      </c>
      <c r="B80" s="9" t="s">
        <v>87</v>
      </c>
      <c r="C80" s="1"/>
      <c r="D80" s="2"/>
      <c r="E80" s="2"/>
      <c r="F80" s="2"/>
      <c r="G80" s="2"/>
      <c r="H80" s="2"/>
      <c r="I80" s="2"/>
    </row>
    <row r="81" spans="1:9" ht="13.5" thickBot="1" x14ac:dyDescent="0.25">
      <c r="A81" s="9">
        <v>71</v>
      </c>
      <c r="B81" s="9" t="s">
        <v>88</v>
      </c>
      <c r="C81" s="1"/>
      <c r="D81" s="2"/>
      <c r="E81" s="2"/>
      <c r="F81" s="2"/>
      <c r="G81" s="2"/>
      <c r="H81" s="2"/>
      <c r="I81" s="2"/>
    </row>
    <row r="82" spans="1:9" ht="13.5" thickBot="1" x14ac:dyDescent="0.25">
      <c r="A82" s="9">
        <v>72</v>
      </c>
      <c r="B82" s="9" t="s">
        <v>89</v>
      </c>
      <c r="C82" s="1"/>
      <c r="D82" s="2"/>
      <c r="E82" s="2"/>
      <c r="F82" s="2"/>
      <c r="G82" s="2"/>
      <c r="H82" s="2"/>
      <c r="I82" s="2"/>
    </row>
    <row r="83" spans="1:9" ht="13.5" thickBot="1" x14ac:dyDescent="0.25">
      <c r="A83" s="9">
        <v>73</v>
      </c>
      <c r="B83" s="9" t="s">
        <v>90</v>
      </c>
      <c r="C83" s="1"/>
      <c r="D83" s="2"/>
      <c r="E83" s="2"/>
      <c r="F83" s="2"/>
      <c r="G83" s="2"/>
      <c r="H83" s="2"/>
      <c r="I83" s="2"/>
    </row>
    <row r="84" spans="1:9" ht="13.5" thickBot="1" x14ac:dyDescent="0.25">
      <c r="A84" s="9">
        <v>74</v>
      </c>
      <c r="B84" s="9" t="s">
        <v>91</v>
      </c>
      <c r="C84" s="1"/>
      <c r="D84" s="2"/>
      <c r="E84" s="2"/>
      <c r="F84" s="2"/>
      <c r="G84" s="2"/>
      <c r="H84" s="2"/>
      <c r="I84" s="2"/>
    </row>
    <row r="85" spans="1:9" ht="13.5" thickBot="1" x14ac:dyDescent="0.25">
      <c r="A85" s="9">
        <v>75</v>
      </c>
      <c r="B85" s="11" t="s">
        <v>92</v>
      </c>
      <c r="C85" s="1"/>
      <c r="D85" s="2"/>
      <c r="E85" s="2"/>
      <c r="F85" s="2"/>
      <c r="G85" s="2"/>
      <c r="H85" s="2"/>
      <c r="I85" s="2"/>
    </row>
    <row r="86" spans="1:9" ht="13.5" thickBot="1" x14ac:dyDescent="0.25">
      <c r="A86" s="9">
        <v>76</v>
      </c>
      <c r="B86" s="9" t="s">
        <v>93</v>
      </c>
      <c r="C86" s="1"/>
      <c r="D86" s="2"/>
      <c r="E86" s="2"/>
      <c r="F86" s="2"/>
      <c r="G86" s="2"/>
      <c r="H86" s="2"/>
      <c r="I86" s="2"/>
    </row>
    <row r="87" spans="1:9" ht="13.5" thickBot="1" x14ac:dyDescent="0.25">
      <c r="A87" s="9">
        <v>77</v>
      </c>
      <c r="B87" s="9" t="s">
        <v>94</v>
      </c>
      <c r="C87" s="1"/>
      <c r="D87" s="2"/>
      <c r="E87" s="2"/>
      <c r="F87" s="2"/>
      <c r="G87" s="2"/>
      <c r="H87" s="2"/>
      <c r="I87" s="2"/>
    </row>
    <row r="88" spans="1:9" ht="13.5" thickBot="1" x14ac:dyDescent="0.25">
      <c r="A88" s="9">
        <v>78</v>
      </c>
      <c r="B88" s="9" t="s">
        <v>95</v>
      </c>
      <c r="C88" s="1"/>
      <c r="D88" s="2"/>
      <c r="E88" s="2"/>
      <c r="F88" s="2"/>
      <c r="G88" s="2"/>
      <c r="H88" s="2"/>
      <c r="I88" s="2"/>
    </row>
    <row r="89" spans="1:9" ht="13.5" thickBot="1" x14ac:dyDescent="0.25">
      <c r="A89" s="9">
        <v>79</v>
      </c>
      <c r="B89" s="9" t="s">
        <v>96</v>
      </c>
      <c r="C89" s="1"/>
      <c r="D89" s="2"/>
      <c r="E89" s="2"/>
      <c r="F89" s="2"/>
      <c r="G89" s="2"/>
      <c r="H89" s="2"/>
      <c r="I89" s="2"/>
    </row>
    <row r="90" spans="1:9" ht="13.5" thickBot="1" x14ac:dyDescent="0.25">
      <c r="A90" s="9">
        <v>80</v>
      </c>
      <c r="B90" s="9" t="s">
        <v>97</v>
      </c>
      <c r="C90" s="1"/>
      <c r="D90" s="2"/>
      <c r="E90" s="2"/>
      <c r="F90" s="2"/>
      <c r="G90" s="2"/>
      <c r="H90" s="2"/>
      <c r="I90" s="2"/>
    </row>
    <row r="91" spans="1:9" ht="13.5" thickBot="1" x14ac:dyDescent="0.25">
      <c r="A91" s="9">
        <v>81</v>
      </c>
      <c r="B91" s="9" t="s">
        <v>98</v>
      </c>
      <c r="C91" s="1"/>
      <c r="D91" s="2"/>
      <c r="E91" s="2"/>
      <c r="F91" s="2"/>
      <c r="G91" s="2"/>
      <c r="H91" s="2"/>
      <c r="I91" s="2"/>
    </row>
    <row r="92" spans="1:9" ht="13.5" thickBot="1" x14ac:dyDescent="0.25">
      <c r="A92" s="9">
        <v>82</v>
      </c>
      <c r="B92" s="9" t="s">
        <v>99</v>
      </c>
      <c r="C92" s="1"/>
      <c r="D92" s="2"/>
      <c r="E92" s="2"/>
      <c r="F92" s="2"/>
      <c r="G92" s="2"/>
      <c r="H92" s="2"/>
      <c r="I92" s="2"/>
    </row>
    <row r="93" spans="1:9" ht="13.5" thickBot="1" x14ac:dyDescent="0.25">
      <c r="A93" s="9">
        <v>83</v>
      </c>
      <c r="B93" s="9" t="s">
        <v>100</v>
      </c>
      <c r="C93" s="1"/>
      <c r="D93" s="2"/>
      <c r="E93" s="2"/>
      <c r="F93" s="2"/>
      <c r="G93" s="2"/>
      <c r="H93" s="2"/>
      <c r="I93" s="2"/>
    </row>
    <row r="94" spans="1:9" ht="13.5" thickBot="1" x14ac:dyDescent="0.25">
      <c r="A94" s="9">
        <v>84</v>
      </c>
      <c r="B94" s="9" t="s">
        <v>101</v>
      </c>
      <c r="C94" s="1"/>
      <c r="D94" s="2"/>
      <c r="E94" s="2"/>
      <c r="F94" s="2"/>
      <c r="G94" s="2"/>
      <c r="H94" s="2"/>
      <c r="I94" s="2"/>
    </row>
    <row r="95" spans="1:9" ht="13.5" thickBot="1" x14ac:dyDescent="0.25">
      <c r="A95" s="9">
        <v>85</v>
      </c>
      <c r="B95" s="11" t="s">
        <v>102</v>
      </c>
      <c r="C95" s="1"/>
      <c r="D95" s="2"/>
      <c r="E95" s="2"/>
      <c r="F95" s="2"/>
      <c r="G95" s="2"/>
      <c r="H95" s="2"/>
      <c r="I95" s="2"/>
    </row>
    <row r="96" spans="1:9" ht="13.5" thickBot="1" x14ac:dyDescent="0.25">
      <c r="A96" s="183"/>
      <c r="B96" s="187"/>
      <c r="C96" s="184">
        <f ca="1">SUM(C96:C100)</f>
        <v>0</v>
      </c>
      <c r="D96" s="184">
        <f t="shared" ref="D96:I96" ca="1" si="8">SUM(D96:D100)</f>
        <v>0</v>
      </c>
      <c r="E96" s="184">
        <f t="shared" ca="1" si="8"/>
        <v>0</v>
      </c>
      <c r="F96" s="184">
        <f t="shared" ca="1" si="8"/>
        <v>0</v>
      </c>
      <c r="G96" s="184">
        <f t="shared" ca="1" si="8"/>
        <v>0</v>
      </c>
      <c r="H96" s="184">
        <f t="shared" ca="1" si="8"/>
        <v>0</v>
      </c>
      <c r="I96" s="184">
        <f t="shared" ca="1" si="8"/>
        <v>0</v>
      </c>
    </row>
    <row r="97" spans="1:9" ht="13.5" thickBot="1" x14ac:dyDescent="0.25">
      <c r="A97" s="9">
        <v>86</v>
      </c>
      <c r="B97" s="11" t="s">
        <v>608</v>
      </c>
      <c r="C97" s="1"/>
      <c r="D97" s="2"/>
      <c r="E97" s="2"/>
      <c r="F97" s="2"/>
      <c r="G97" s="2"/>
      <c r="H97" s="2"/>
      <c r="I97" s="2"/>
    </row>
    <row r="98" spans="1:9" ht="13.5" thickBot="1" x14ac:dyDescent="0.25">
      <c r="A98" s="9">
        <v>87</v>
      </c>
      <c r="B98" s="11" t="s">
        <v>609</v>
      </c>
      <c r="C98" s="1"/>
      <c r="D98" s="186"/>
      <c r="E98" s="2"/>
      <c r="F98" s="2"/>
      <c r="G98" s="2"/>
      <c r="H98" s="2"/>
      <c r="I98" s="2"/>
    </row>
    <row r="99" spans="1:9" ht="13.5" thickBot="1" x14ac:dyDescent="0.25">
      <c r="A99" s="9">
        <v>88</v>
      </c>
      <c r="B99" s="11" t="s">
        <v>610</v>
      </c>
      <c r="C99" s="1"/>
      <c r="D99" s="2"/>
      <c r="E99" s="2"/>
      <c r="F99" s="2"/>
      <c r="G99" s="2"/>
      <c r="H99" s="2"/>
      <c r="I99" s="2"/>
    </row>
    <row r="100" spans="1:9" ht="13.5" thickBot="1" x14ac:dyDescent="0.25">
      <c r="A100" s="9">
        <v>89</v>
      </c>
      <c r="B100" s="11" t="s">
        <v>611</v>
      </c>
      <c r="C100" s="1"/>
      <c r="D100" s="2"/>
      <c r="E100" s="2"/>
      <c r="F100" s="2"/>
      <c r="G100" s="2"/>
      <c r="H100" s="2"/>
      <c r="I100" s="2"/>
    </row>
    <row r="101" spans="1:9" ht="24" customHeight="1" thickBot="1" x14ac:dyDescent="0.25">
      <c r="A101" s="70"/>
      <c r="B101" s="183" t="s">
        <v>247</v>
      </c>
      <c r="C101" s="71">
        <f>C3+C15+C26+C33+C48+C57+C65+C77</f>
        <v>0</v>
      </c>
      <c r="D101" s="71">
        <f t="shared" ref="D101:I101" si="9">D3+D15+D26+D33+D48+D57+D65+D77</f>
        <v>0</v>
      </c>
      <c r="E101" s="71">
        <f t="shared" si="9"/>
        <v>0</v>
      </c>
      <c r="F101" s="71">
        <f t="shared" si="9"/>
        <v>0</v>
      </c>
      <c r="G101" s="71">
        <f t="shared" si="9"/>
        <v>0</v>
      </c>
      <c r="H101" s="71">
        <f t="shared" si="9"/>
        <v>0</v>
      </c>
      <c r="I101" s="71">
        <f t="shared" si="9"/>
        <v>0</v>
      </c>
    </row>
    <row r="104" spans="1:9" ht="15.75" customHeight="1" x14ac:dyDescent="0.2">
      <c r="A104" s="188" t="s">
        <v>215</v>
      </c>
      <c r="B104" s="188"/>
    </row>
    <row r="105" spans="1:9" ht="134.25" customHeight="1" x14ac:dyDescent="0.2">
      <c r="A105" s="207" t="s">
        <v>216</v>
      </c>
      <c r="B105" s="207"/>
      <c r="C105" s="207"/>
      <c r="D105" s="207"/>
      <c r="E105" s="207"/>
      <c r="F105" s="207"/>
      <c r="G105" s="207"/>
      <c r="H105" s="207"/>
      <c r="I105" s="207"/>
    </row>
    <row r="106" spans="1:9" x14ac:dyDescent="0.2">
      <c r="A106" s="3"/>
      <c r="B106" s="3"/>
    </row>
    <row r="107" spans="1:9" x14ac:dyDescent="0.2">
      <c r="A107" s="3"/>
      <c r="B107" s="3"/>
    </row>
  </sheetData>
  <sheetProtection formatColumns="0" formatRows="0" insertColumns="0" insertRows="0" insertHyperlinks="0" deleteColumns="0" deleteRows="0"/>
  <mergeCells count="8">
    <mergeCell ref="A1:A2"/>
    <mergeCell ref="A105:I105"/>
    <mergeCell ref="I1:I2"/>
    <mergeCell ref="F1:H1"/>
    <mergeCell ref="B1:B2"/>
    <mergeCell ref="C1:C2"/>
    <mergeCell ref="D1:D2"/>
    <mergeCell ref="E1:E2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107"/>
  <sheetViews>
    <sheetView topLeftCell="A79" workbookViewId="0">
      <selection activeCell="B39" sqref="B39"/>
    </sheetView>
  </sheetViews>
  <sheetFormatPr defaultRowHeight="15" x14ac:dyDescent="0.25"/>
  <cols>
    <col min="1" max="1" width="8.140625" style="14" customWidth="1"/>
    <col min="2" max="2" width="30.140625" customWidth="1"/>
    <col min="3" max="12" width="11.7109375" customWidth="1"/>
    <col min="14" max="14" width="0" hidden="1" customWidth="1"/>
    <col min="15" max="15" width="28.28515625" hidden="1" customWidth="1"/>
    <col min="16" max="23" width="11.42578125" hidden="1" customWidth="1"/>
  </cols>
  <sheetData>
    <row r="1" spans="1:23" ht="52.9" customHeight="1" thickBot="1" x14ac:dyDescent="0.3">
      <c r="A1" s="205" t="s">
        <v>607</v>
      </c>
      <c r="B1" s="218" t="s">
        <v>103</v>
      </c>
      <c r="C1" s="214" t="s">
        <v>231</v>
      </c>
      <c r="D1" s="215"/>
      <c r="E1" s="214" t="s">
        <v>232</v>
      </c>
      <c r="F1" s="215"/>
      <c r="G1" s="214" t="s">
        <v>233</v>
      </c>
      <c r="H1" s="215"/>
      <c r="I1" s="214" t="s">
        <v>234</v>
      </c>
      <c r="J1" s="215"/>
      <c r="K1" s="214" t="s">
        <v>235</v>
      </c>
      <c r="L1" s="215"/>
      <c r="M1" s="65"/>
      <c r="N1" s="65" t="s">
        <v>298</v>
      </c>
      <c r="O1" s="216" t="s">
        <v>103</v>
      </c>
      <c r="P1" s="217" t="s">
        <v>294</v>
      </c>
      <c r="Q1" s="213"/>
      <c r="R1" s="212" t="s">
        <v>295</v>
      </c>
      <c r="S1" s="213"/>
      <c r="T1" s="212" t="s">
        <v>296</v>
      </c>
      <c r="U1" s="213"/>
      <c r="V1" s="212" t="s">
        <v>297</v>
      </c>
      <c r="W1" s="213"/>
    </row>
    <row r="2" spans="1:23" ht="31.9" customHeight="1" thickBot="1" x14ac:dyDescent="0.3">
      <c r="A2" s="206"/>
      <c r="B2" s="218"/>
      <c r="C2" s="68">
        <v>2022</v>
      </c>
      <c r="D2" s="68">
        <v>2023</v>
      </c>
      <c r="E2" s="68">
        <v>2022</v>
      </c>
      <c r="F2" s="68">
        <v>2023</v>
      </c>
      <c r="G2" s="68">
        <v>2022</v>
      </c>
      <c r="H2" s="68">
        <v>2023</v>
      </c>
      <c r="I2" s="68">
        <v>2022</v>
      </c>
      <c r="J2" s="68">
        <v>2023</v>
      </c>
      <c r="K2" s="68">
        <v>2022</v>
      </c>
      <c r="L2" s="68">
        <v>2023</v>
      </c>
      <c r="M2" s="65"/>
      <c r="N2" s="65"/>
      <c r="O2" s="216"/>
      <c r="P2" s="51">
        <v>2022</v>
      </c>
      <c r="Q2" s="51">
        <v>2023</v>
      </c>
      <c r="R2" s="51">
        <v>2022</v>
      </c>
      <c r="S2" s="51">
        <v>2023</v>
      </c>
      <c r="T2" s="51">
        <v>2022</v>
      </c>
      <c r="U2" s="51">
        <v>2023</v>
      </c>
      <c r="V2" s="51">
        <v>2022</v>
      </c>
      <c r="W2" s="51">
        <v>2023</v>
      </c>
    </row>
    <row r="3" spans="1:23" ht="15.75" thickBot="1" x14ac:dyDescent="0.3">
      <c r="A3" s="8"/>
      <c r="B3" s="52" t="s">
        <v>113</v>
      </c>
      <c r="C3" s="53">
        <f>SUM(C4:C14)</f>
        <v>41190</v>
      </c>
      <c r="D3" s="53">
        <f t="shared" ref="D3:L3" si="0">SUM(D4:D14)</f>
        <v>0</v>
      </c>
      <c r="E3" s="53">
        <f t="shared" si="0"/>
        <v>575</v>
      </c>
      <c r="F3" s="53">
        <f t="shared" si="0"/>
        <v>0</v>
      </c>
      <c r="G3" s="53">
        <f>SUM(G4:G14)</f>
        <v>581</v>
      </c>
      <c r="H3" s="53">
        <f t="shared" si="0"/>
        <v>0</v>
      </c>
      <c r="I3" s="53">
        <f t="shared" si="0"/>
        <v>1408</v>
      </c>
      <c r="J3" s="53">
        <f t="shared" si="0"/>
        <v>0</v>
      </c>
      <c r="K3" s="53">
        <f t="shared" si="0"/>
        <v>2188965.6510000001</v>
      </c>
      <c r="L3" s="53">
        <f t="shared" si="0"/>
        <v>0</v>
      </c>
      <c r="M3" s="65"/>
      <c r="N3" s="65"/>
      <c r="O3" s="52" t="s">
        <v>113</v>
      </c>
      <c r="P3" s="53">
        <f>SUM(P4:P14)</f>
        <v>41190</v>
      </c>
      <c r="Q3" s="53">
        <f t="shared" ref="Q3:W3" si="1">SUM(Q4:Q14)</f>
        <v>0</v>
      </c>
      <c r="R3" s="53">
        <f t="shared" si="1"/>
        <v>575</v>
      </c>
      <c r="S3" s="53">
        <f t="shared" si="1"/>
        <v>0</v>
      </c>
      <c r="T3" s="53">
        <f t="shared" si="1"/>
        <v>581</v>
      </c>
      <c r="U3" s="53">
        <f t="shared" si="1"/>
        <v>0</v>
      </c>
      <c r="V3" s="53">
        <f t="shared" si="1"/>
        <v>1408</v>
      </c>
      <c r="W3" s="53">
        <f t="shared" si="1"/>
        <v>0</v>
      </c>
    </row>
    <row r="4" spans="1:23" ht="15.75" thickBot="1" x14ac:dyDescent="0.3">
      <c r="A4" s="9">
        <v>1</v>
      </c>
      <c r="B4" s="54" t="s">
        <v>18</v>
      </c>
      <c r="C4" s="54">
        <v>4834</v>
      </c>
      <c r="D4" s="54"/>
      <c r="E4" s="54">
        <v>62</v>
      </c>
      <c r="F4" s="54"/>
      <c r="G4" s="54">
        <v>89</v>
      </c>
      <c r="H4" s="54"/>
      <c r="I4" s="54">
        <v>92</v>
      </c>
      <c r="J4" s="54"/>
      <c r="K4" s="54">
        <v>534619.64199999999</v>
      </c>
      <c r="L4" s="54"/>
      <c r="M4" s="65"/>
      <c r="N4" s="65"/>
      <c r="O4" s="54" t="s">
        <v>18</v>
      </c>
      <c r="P4" s="54">
        <v>4834</v>
      </c>
      <c r="Q4" s="54"/>
      <c r="R4" s="54">
        <v>62</v>
      </c>
      <c r="S4" s="54"/>
      <c r="T4" s="54">
        <v>89</v>
      </c>
      <c r="U4" s="54"/>
      <c r="V4" s="54">
        <v>92</v>
      </c>
      <c r="W4" s="54"/>
    </row>
    <row r="5" spans="1:23" ht="15.75" thickBot="1" x14ac:dyDescent="0.3">
      <c r="A5" s="9">
        <v>2</v>
      </c>
      <c r="B5" s="54" t="s">
        <v>19</v>
      </c>
      <c r="C5" s="54">
        <v>1956</v>
      </c>
      <c r="D5" s="54"/>
      <c r="E5" s="54">
        <v>68</v>
      </c>
      <c r="F5" s="54"/>
      <c r="G5" s="54">
        <v>81</v>
      </c>
      <c r="H5" s="54"/>
      <c r="I5" s="54">
        <v>213</v>
      </c>
      <c r="J5" s="54"/>
      <c r="K5" s="54">
        <v>62999.453999999998</v>
      </c>
      <c r="L5" s="54"/>
      <c r="M5" s="65"/>
      <c r="N5" s="65"/>
      <c r="O5" s="54" t="s">
        <v>19</v>
      </c>
      <c r="P5" s="54">
        <v>1956</v>
      </c>
      <c r="Q5" s="54"/>
      <c r="R5" s="54">
        <v>68</v>
      </c>
      <c r="S5" s="54"/>
      <c r="T5" s="54">
        <v>81</v>
      </c>
      <c r="U5" s="54"/>
      <c r="V5" s="54">
        <v>213</v>
      </c>
      <c r="W5" s="54"/>
    </row>
    <row r="6" spans="1:23" ht="15.75" thickBot="1" x14ac:dyDescent="0.3">
      <c r="A6" s="9">
        <v>3</v>
      </c>
      <c r="B6" s="54" t="s">
        <v>20</v>
      </c>
      <c r="C6" s="54">
        <v>7309</v>
      </c>
      <c r="D6" s="54"/>
      <c r="E6" s="54">
        <v>79</v>
      </c>
      <c r="F6" s="54"/>
      <c r="G6" s="54">
        <v>53</v>
      </c>
      <c r="H6" s="54"/>
      <c r="I6" s="54">
        <v>131</v>
      </c>
      <c r="J6" s="54"/>
      <c r="K6" s="54">
        <v>42329.239000000001</v>
      </c>
      <c r="L6" s="54"/>
      <c r="M6" s="65"/>
      <c r="N6" s="65"/>
      <c r="O6" s="54" t="s">
        <v>20</v>
      </c>
      <c r="P6" s="54">
        <v>7309</v>
      </c>
      <c r="Q6" s="54"/>
      <c r="R6" s="54">
        <v>79</v>
      </c>
      <c r="S6" s="54"/>
      <c r="T6" s="54">
        <v>53</v>
      </c>
      <c r="U6" s="54"/>
      <c r="V6" s="54">
        <v>131</v>
      </c>
      <c r="W6" s="54"/>
    </row>
    <row r="7" spans="1:23" ht="15.75" thickBot="1" x14ac:dyDescent="0.3">
      <c r="A7" s="9">
        <v>4</v>
      </c>
      <c r="B7" s="54" t="s">
        <v>21</v>
      </c>
      <c r="C7" s="54">
        <v>1241</v>
      </c>
      <c r="D7" s="54"/>
      <c r="E7" s="54">
        <v>22</v>
      </c>
      <c r="F7" s="54"/>
      <c r="G7" s="54">
        <v>14</v>
      </c>
      <c r="H7" s="54"/>
      <c r="I7" s="54">
        <v>56</v>
      </c>
      <c r="J7" s="54"/>
      <c r="K7" s="54">
        <v>7238.8119999999999</v>
      </c>
      <c r="L7" s="54"/>
      <c r="M7" s="65"/>
      <c r="N7" s="65"/>
      <c r="O7" s="54" t="s">
        <v>21</v>
      </c>
      <c r="P7" s="54">
        <v>1241</v>
      </c>
      <c r="Q7" s="54"/>
      <c r="R7" s="54">
        <v>22</v>
      </c>
      <c r="S7" s="54"/>
      <c r="T7" s="54">
        <v>14</v>
      </c>
      <c r="U7" s="54"/>
      <c r="V7" s="54">
        <v>56</v>
      </c>
      <c r="W7" s="54"/>
    </row>
    <row r="8" spans="1:23" ht="15.75" thickBot="1" x14ac:dyDescent="0.3">
      <c r="A8" s="9">
        <v>5</v>
      </c>
      <c r="B8" s="54" t="s">
        <v>22</v>
      </c>
      <c r="C8" s="54">
        <v>12012</v>
      </c>
      <c r="D8" s="54"/>
      <c r="E8" s="54">
        <v>121</v>
      </c>
      <c r="F8" s="54"/>
      <c r="G8" s="54">
        <v>108</v>
      </c>
      <c r="H8" s="54"/>
      <c r="I8" s="54">
        <v>306</v>
      </c>
      <c r="J8" s="54"/>
      <c r="K8" s="54">
        <v>124960.303</v>
      </c>
      <c r="L8" s="54"/>
      <c r="M8" s="65"/>
      <c r="N8" s="65"/>
      <c r="O8" s="54" t="s">
        <v>22</v>
      </c>
      <c r="P8" s="54">
        <v>12012</v>
      </c>
      <c r="Q8" s="54"/>
      <c r="R8" s="54">
        <v>121</v>
      </c>
      <c r="S8" s="54"/>
      <c r="T8" s="54">
        <v>108</v>
      </c>
      <c r="U8" s="54"/>
      <c r="V8" s="54">
        <v>306</v>
      </c>
      <c r="W8" s="54"/>
    </row>
    <row r="9" spans="1:23" ht="15.75" thickBot="1" x14ac:dyDescent="0.3">
      <c r="A9" s="9">
        <v>6</v>
      </c>
      <c r="B9" s="54" t="s">
        <v>23</v>
      </c>
      <c r="C9" s="54">
        <v>6338</v>
      </c>
      <c r="D9" s="54"/>
      <c r="E9" s="54">
        <v>97</v>
      </c>
      <c r="F9" s="54"/>
      <c r="G9" s="54">
        <v>95</v>
      </c>
      <c r="H9" s="54"/>
      <c r="I9" s="54">
        <v>273</v>
      </c>
      <c r="J9" s="54"/>
      <c r="K9" s="54">
        <v>890991.32499999995</v>
      </c>
      <c r="L9" s="54"/>
      <c r="M9" s="65"/>
      <c r="N9" s="65"/>
      <c r="O9" s="54" t="s">
        <v>23</v>
      </c>
      <c r="P9" s="54">
        <v>6338</v>
      </c>
      <c r="Q9" s="54"/>
      <c r="R9" s="54">
        <v>97</v>
      </c>
      <c r="S9" s="54"/>
      <c r="T9" s="54">
        <v>95</v>
      </c>
      <c r="U9" s="54"/>
      <c r="V9" s="54">
        <v>273</v>
      </c>
      <c r="W9" s="54"/>
    </row>
    <row r="10" spans="1:23" ht="15.75" thickBot="1" x14ac:dyDescent="0.3">
      <c r="A10" s="9">
        <v>7</v>
      </c>
      <c r="B10" s="54" t="s">
        <v>24</v>
      </c>
      <c r="C10" s="54">
        <v>3926</v>
      </c>
      <c r="D10" s="54"/>
      <c r="E10" s="54">
        <v>63</v>
      </c>
      <c r="F10" s="54"/>
      <c r="G10" s="54">
        <v>56</v>
      </c>
      <c r="H10" s="54"/>
      <c r="I10" s="54">
        <v>142</v>
      </c>
      <c r="J10" s="54"/>
      <c r="K10" s="54">
        <v>284297.174</v>
      </c>
      <c r="L10" s="54"/>
      <c r="M10" s="65"/>
      <c r="N10" s="65"/>
      <c r="O10" s="54" t="s">
        <v>24</v>
      </c>
      <c r="P10" s="54">
        <v>3926</v>
      </c>
      <c r="Q10" s="54"/>
      <c r="R10" s="54">
        <v>63</v>
      </c>
      <c r="S10" s="54"/>
      <c r="T10" s="54">
        <v>56</v>
      </c>
      <c r="U10" s="54"/>
      <c r="V10" s="54">
        <v>142</v>
      </c>
      <c r="W10" s="54"/>
    </row>
    <row r="11" spans="1:23" ht="15.75" thickBot="1" x14ac:dyDescent="0.3">
      <c r="A11" s="9">
        <v>8</v>
      </c>
      <c r="B11" s="54" t="s">
        <v>25</v>
      </c>
      <c r="C11" s="54">
        <v>680</v>
      </c>
      <c r="D11" s="54"/>
      <c r="E11" s="54">
        <v>11</v>
      </c>
      <c r="F11" s="54"/>
      <c r="G11" s="54">
        <v>9</v>
      </c>
      <c r="H11" s="54"/>
      <c r="I11" s="54">
        <v>34</v>
      </c>
      <c r="J11" s="54"/>
      <c r="K11" s="54">
        <v>31.003</v>
      </c>
      <c r="L11" s="54"/>
      <c r="M11" s="65"/>
      <c r="N11" s="65"/>
      <c r="O11" s="54" t="s">
        <v>25</v>
      </c>
      <c r="P11" s="54">
        <v>680</v>
      </c>
      <c r="Q11" s="54"/>
      <c r="R11" s="54">
        <v>11</v>
      </c>
      <c r="S11" s="54"/>
      <c r="T11" s="54">
        <v>9</v>
      </c>
      <c r="U11" s="54"/>
      <c r="V11" s="54">
        <v>34</v>
      </c>
      <c r="W11" s="54"/>
    </row>
    <row r="12" spans="1:23" ht="15.75" thickBot="1" x14ac:dyDescent="0.3">
      <c r="A12" s="9">
        <v>9</v>
      </c>
      <c r="B12" s="54" t="s">
        <v>26</v>
      </c>
      <c r="C12" s="54">
        <v>1726</v>
      </c>
      <c r="D12" s="54"/>
      <c r="E12" s="54">
        <v>28</v>
      </c>
      <c r="F12" s="54"/>
      <c r="G12" s="54">
        <v>43</v>
      </c>
      <c r="H12" s="54"/>
      <c r="I12" s="54">
        <v>93</v>
      </c>
      <c r="J12" s="54"/>
      <c r="K12" s="54">
        <v>40255.084999999999</v>
      </c>
      <c r="L12" s="54"/>
      <c r="M12" s="65"/>
      <c r="N12" s="65"/>
      <c r="O12" s="54" t="s">
        <v>26</v>
      </c>
      <c r="P12" s="54">
        <v>1726</v>
      </c>
      <c r="Q12" s="54"/>
      <c r="R12" s="54">
        <v>28</v>
      </c>
      <c r="S12" s="54"/>
      <c r="T12" s="54">
        <v>43</v>
      </c>
      <c r="U12" s="54"/>
      <c r="V12" s="54">
        <v>93</v>
      </c>
      <c r="W12" s="54"/>
    </row>
    <row r="13" spans="1:23" ht="15.75" thickBot="1" x14ac:dyDescent="0.3">
      <c r="A13" s="9">
        <v>10</v>
      </c>
      <c r="B13" s="54" t="s">
        <v>27</v>
      </c>
      <c r="C13" s="54">
        <v>1065</v>
      </c>
      <c r="D13" s="54"/>
      <c r="E13" s="54">
        <v>15</v>
      </c>
      <c r="F13" s="54"/>
      <c r="G13" s="54">
        <v>22</v>
      </c>
      <c r="H13" s="54"/>
      <c r="I13" s="54">
        <v>50</v>
      </c>
      <c r="J13" s="54"/>
      <c r="K13" s="54">
        <v>21521.094000000001</v>
      </c>
      <c r="L13" s="54"/>
      <c r="M13" s="65"/>
      <c r="N13" s="65"/>
      <c r="O13" s="54" t="s">
        <v>27</v>
      </c>
      <c r="P13" s="54">
        <v>1065</v>
      </c>
      <c r="Q13" s="54"/>
      <c r="R13" s="54">
        <v>15</v>
      </c>
      <c r="S13" s="54"/>
      <c r="T13" s="54">
        <v>22</v>
      </c>
      <c r="U13" s="54"/>
      <c r="V13" s="54">
        <v>50</v>
      </c>
      <c r="W13" s="54"/>
    </row>
    <row r="14" spans="1:23" ht="15.75" thickBot="1" x14ac:dyDescent="0.3">
      <c r="A14" s="9">
        <v>11</v>
      </c>
      <c r="B14" s="54" t="s">
        <v>28</v>
      </c>
      <c r="C14" s="54">
        <v>103</v>
      </c>
      <c r="D14" s="54"/>
      <c r="E14" s="54">
        <v>9</v>
      </c>
      <c r="F14" s="54"/>
      <c r="G14" s="54">
        <v>11</v>
      </c>
      <c r="H14" s="54"/>
      <c r="I14" s="54">
        <v>18</v>
      </c>
      <c r="J14" s="54"/>
      <c r="K14" s="54">
        <v>179722.52</v>
      </c>
      <c r="L14" s="54"/>
      <c r="M14" s="65"/>
      <c r="N14" s="65"/>
      <c r="O14" s="54" t="s">
        <v>28</v>
      </c>
      <c r="P14" s="54">
        <v>103</v>
      </c>
      <c r="Q14" s="54"/>
      <c r="R14" s="54">
        <v>9</v>
      </c>
      <c r="S14" s="54"/>
      <c r="T14" s="54">
        <v>11</v>
      </c>
      <c r="U14" s="54"/>
      <c r="V14" s="54">
        <v>18</v>
      </c>
      <c r="W14" s="54"/>
    </row>
    <row r="15" spans="1:23" ht="15.75" thickBot="1" x14ac:dyDescent="0.3">
      <c r="A15" s="10"/>
      <c r="B15" s="52" t="s">
        <v>115</v>
      </c>
      <c r="C15" s="53">
        <f>SUM(C16:C25)</f>
        <v>65260</v>
      </c>
      <c r="D15" s="53">
        <f t="shared" ref="D15:L15" si="2">SUM(D16:D25)</f>
        <v>0</v>
      </c>
      <c r="E15" s="53">
        <f t="shared" si="2"/>
        <v>1246</v>
      </c>
      <c r="F15" s="53">
        <f t="shared" si="2"/>
        <v>0</v>
      </c>
      <c r="G15" s="53">
        <f t="shared" si="2"/>
        <v>1325</v>
      </c>
      <c r="H15" s="53">
        <f t="shared" si="2"/>
        <v>0</v>
      </c>
      <c r="I15" s="53">
        <f t="shared" si="2"/>
        <v>5252</v>
      </c>
      <c r="J15" s="53">
        <f t="shared" si="2"/>
        <v>0</v>
      </c>
      <c r="K15" s="53">
        <f t="shared" si="2"/>
        <v>1003598.3809999998</v>
      </c>
      <c r="L15" s="53">
        <f t="shared" si="2"/>
        <v>0</v>
      </c>
      <c r="M15" s="65"/>
      <c r="N15" s="65"/>
      <c r="O15" s="52" t="s">
        <v>115</v>
      </c>
      <c r="P15" s="53">
        <f>SUM(P16:P25)</f>
        <v>65260</v>
      </c>
      <c r="Q15" s="53">
        <f t="shared" ref="Q15:W15" si="3">SUM(Q16:Q25)</f>
        <v>0</v>
      </c>
      <c r="R15" s="53">
        <f t="shared" si="3"/>
        <v>1246</v>
      </c>
      <c r="S15" s="53">
        <f t="shared" si="3"/>
        <v>0</v>
      </c>
      <c r="T15" s="53">
        <f t="shared" si="3"/>
        <v>1325</v>
      </c>
      <c r="U15" s="53">
        <f t="shared" si="3"/>
        <v>0</v>
      </c>
      <c r="V15" s="53">
        <f t="shared" si="3"/>
        <v>5252</v>
      </c>
      <c r="W15" s="53">
        <f t="shared" si="3"/>
        <v>0</v>
      </c>
    </row>
    <row r="16" spans="1:23" ht="15.75" thickBot="1" x14ac:dyDescent="0.3">
      <c r="A16" s="9">
        <v>12</v>
      </c>
      <c r="B16" s="54" t="s">
        <v>29</v>
      </c>
      <c r="C16" s="54">
        <v>476</v>
      </c>
      <c r="D16" s="54"/>
      <c r="E16" s="54">
        <v>14</v>
      </c>
      <c r="F16" s="54"/>
      <c r="G16" s="54">
        <v>14</v>
      </c>
      <c r="H16" s="54"/>
      <c r="I16" s="54">
        <v>47</v>
      </c>
      <c r="J16" s="54"/>
      <c r="K16" s="54">
        <v>86413.729000000007</v>
      </c>
      <c r="L16" s="54"/>
      <c r="M16" s="65"/>
      <c r="N16" s="65"/>
      <c r="O16" s="54" t="s">
        <v>29</v>
      </c>
      <c r="P16" s="54">
        <v>476</v>
      </c>
      <c r="Q16" s="54"/>
      <c r="R16" s="54">
        <v>14</v>
      </c>
      <c r="S16" s="54"/>
      <c r="T16" s="54">
        <v>14</v>
      </c>
      <c r="U16" s="54"/>
      <c r="V16" s="54">
        <v>47</v>
      </c>
      <c r="W16" s="54"/>
    </row>
    <row r="17" spans="1:23" ht="15.75" thickBot="1" x14ac:dyDescent="0.3">
      <c r="A17" s="9">
        <v>13</v>
      </c>
      <c r="B17" s="54" t="s">
        <v>30</v>
      </c>
      <c r="C17" s="54">
        <v>1398</v>
      </c>
      <c r="D17" s="54"/>
      <c r="E17" s="54">
        <v>19</v>
      </c>
      <c r="F17" s="54"/>
      <c r="G17" s="54">
        <v>49</v>
      </c>
      <c r="H17" s="54"/>
      <c r="I17" s="54">
        <v>58</v>
      </c>
      <c r="J17" s="54"/>
      <c r="K17" s="54">
        <v>17945.403999999999</v>
      </c>
      <c r="L17" s="54"/>
      <c r="M17" s="65"/>
      <c r="N17" s="65"/>
      <c r="O17" s="54" t="s">
        <v>30</v>
      </c>
      <c r="P17" s="54">
        <v>1398</v>
      </c>
      <c r="Q17" s="54"/>
      <c r="R17" s="54">
        <v>19</v>
      </c>
      <c r="S17" s="54"/>
      <c r="T17" s="54">
        <v>49</v>
      </c>
      <c r="U17" s="54"/>
      <c r="V17" s="54">
        <v>58</v>
      </c>
      <c r="W17" s="54"/>
    </row>
    <row r="18" spans="1:23" ht="15.75" thickBot="1" x14ac:dyDescent="0.3">
      <c r="A18" s="9">
        <v>14</v>
      </c>
      <c r="B18" s="54" t="s">
        <v>31</v>
      </c>
      <c r="C18" s="54">
        <v>2802</v>
      </c>
      <c r="D18" s="54"/>
      <c r="E18" s="54">
        <v>41</v>
      </c>
      <c r="F18" s="54"/>
      <c r="G18" s="54">
        <v>32</v>
      </c>
      <c r="H18" s="54"/>
      <c r="I18" s="54">
        <v>97</v>
      </c>
      <c r="J18" s="54"/>
      <c r="K18" s="54">
        <v>71812.107999999993</v>
      </c>
      <c r="L18" s="54"/>
      <c r="M18" s="65"/>
      <c r="N18" s="65"/>
      <c r="O18" s="54" t="s">
        <v>31</v>
      </c>
      <c r="P18" s="54">
        <v>2802</v>
      </c>
      <c r="Q18" s="54"/>
      <c r="R18" s="54">
        <v>41</v>
      </c>
      <c r="S18" s="54"/>
      <c r="T18" s="54">
        <v>32</v>
      </c>
      <c r="U18" s="54"/>
      <c r="V18" s="54">
        <v>97</v>
      </c>
      <c r="W18" s="54"/>
    </row>
    <row r="19" spans="1:23" ht="15.75" thickBot="1" x14ac:dyDescent="0.3">
      <c r="A19" s="9">
        <v>15</v>
      </c>
      <c r="B19" s="55" t="s">
        <v>32</v>
      </c>
      <c r="C19" s="54">
        <v>11944</v>
      </c>
      <c r="D19" s="54"/>
      <c r="E19" s="54">
        <v>169</v>
      </c>
      <c r="F19" s="54"/>
      <c r="G19" s="54">
        <v>130</v>
      </c>
      <c r="H19" s="54"/>
      <c r="I19" s="54">
        <v>632</v>
      </c>
      <c r="J19" s="54"/>
      <c r="K19" s="54">
        <v>29313.439999999999</v>
      </c>
      <c r="L19" s="54"/>
      <c r="M19" s="65"/>
      <c r="N19" s="65"/>
      <c r="O19" s="55" t="s">
        <v>32</v>
      </c>
      <c r="P19" s="54">
        <v>11944</v>
      </c>
      <c r="Q19" s="54"/>
      <c r="R19" s="54">
        <v>169</v>
      </c>
      <c r="S19" s="54"/>
      <c r="T19" s="54">
        <v>130</v>
      </c>
      <c r="U19" s="54"/>
      <c r="V19" s="54">
        <v>632</v>
      </c>
      <c r="W19" s="54"/>
    </row>
    <row r="20" spans="1:23" ht="15.75" thickBot="1" x14ac:dyDescent="0.3">
      <c r="A20" s="9">
        <v>16</v>
      </c>
      <c r="B20" s="54" t="s">
        <v>33</v>
      </c>
      <c r="C20" s="54">
        <v>8634</v>
      </c>
      <c r="D20" s="54"/>
      <c r="E20" s="54">
        <v>200</v>
      </c>
      <c r="F20" s="54"/>
      <c r="G20" s="54">
        <v>207</v>
      </c>
      <c r="H20" s="54"/>
      <c r="I20" s="54">
        <v>1330</v>
      </c>
      <c r="J20" s="54"/>
      <c r="K20" s="54">
        <v>132147.696</v>
      </c>
      <c r="L20" s="54"/>
      <c r="M20" s="65"/>
      <c r="N20" s="65"/>
      <c r="O20" s="54" t="s">
        <v>33</v>
      </c>
      <c r="P20" s="54">
        <v>8634</v>
      </c>
      <c r="Q20" s="54"/>
      <c r="R20" s="54">
        <v>200</v>
      </c>
      <c r="S20" s="54"/>
      <c r="T20" s="54">
        <v>207</v>
      </c>
      <c r="U20" s="54"/>
      <c r="V20" s="54">
        <v>1330</v>
      </c>
      <c r="W20" s="54"/>
    </row>
    <row r="21" spans="1:23" ht="15.75" thickBot="1" x14ac:dyDescent="0.3">
      <c r="A21" s="9">
        <v>17</v>
      </c>
      <c r="B21" s="54" t="s">
        <v>34</v>
      </c>
      <c r="C21" s="54">
        <v>6089</v>
      </c>
      <c r="D21" s="54"/>
      <c r="E21" s="54">
        <v>200</v>
      </c>
      <c r="F21" s="54"/>
      <c r="G21" s="54">
        <v>206</v>
      </c>
      <c r="H21" s="54"/>
      <c r="I21" s="54">
        <v>913</v>
      </c>
      <c r="J21" s="54"/>
      <c r="K21" s="54">
        <v>415848.571</v>
      </c>
      <c r="L21" s="54"/>
      <c r="M21" s="65"/>
      <c r="N21" s="65"/>
      <c r="O21" s="54" t="s">
        <v>34</v>
      </c>
      <c r="P21" s="54">
        <v>6089</v>
      </c>
      <c r="Q21" s="54"/>
      <c r="R21" s="54">
        <v>200</v>
      </c>
      <c r="S21" s="54"/>
      <c r="T21" s="54">
        <v>206</v>
      </c>
      <c r="U21" s="54"/>
      <c r="V21" s="54">
        <v>913</v>
      </c>
      <c r="W21" s="54"/>
    </row>
    <row r="22" spans="1:23" ht="15.75" thickBot="1" x14ac:dyDescent="0.3">
      <c r="A22" s="9">
        <v>18</v>
      </c>
      <c r="B22" s="54" t="s">
        <v>35</v>
      </c>
      <c r="C22" s="54">
        <v>10692</v>
      </c>
      <c r="D22" s="54"/>
      <c r="E22" s="54">
        <v>215</v>
      </c>
      <c r="F22" s="54"/>
      <c r="G22" s="54">
        <v>182</v>
      </c>
      <c r="H22" s="54"/>
      <c r="I22" s="54">
        <v>644</v>
      </c>
      <c r="J22" s="54"/>
      <c r="K22" s="54">
        <v>130844.22199999999</v>
      </c>
      <c r="L22" s="54"/>
      <c r="M22" s="65"/>
      <c r="N22" s="65"/>
      <c r="O22" s="54" t="s">
        <v>35</v>
      </c>
      <c r="P22" s="54">
        <v>10692</v>
      </c>
      <c r="Q22" s="54"/>
      <c r="R22" s="54">
        <v>215</v>
      </c>
      <c r="S22" s="54"/>
      <c r="T22" s="54">
        <v>182</v>
      </c>
      <c r="U22" s="54"/>
      <c r="V22" s="54">
        <v>644</v>
      </c>
      <c r="W22" s="54"/>
    </row>
    <row r="23" spans="1:23" ht="15.75" thickBot="1" x14ac:dyDescent="0.3">
      <c r="A23" s="9">
        <v>19</v>
      </c>
      <c r="B23" s="54" t="s">
        <v>36</v>
      </c>
      <c r="C23" s="54">
        <v>13180</v>
      </c>
      <c r="D23" s="54"/>
      <c r="E23" s="54">
        <v>190</v>
      </c>
      <c r="F23" s="54"/>
      <c r="G23" s="54">
        <v>290</v>
      </c>
      <c r="H23" s="54"/>
      <c r="I23" s="54">
        <v>529</v>
      </c>
      <c r="J23" s="54"/>
      <c r="K23" s="54">
        <v>40166.786</v>
      </c>
      <c r="L23" s="54"/>
      <c r="M23" s="65"/>
      <c r="N23" s="65"/>
      <c r="O23" s="54" t="s">
        <v>36</v>
      </c>
      <c r="P23" s="54">
        <v>13180</v>
      </c>
      <c r="Q23" s="54"/>
      <c r="R23" s="54">
        <v>190</v>
      </c>
      <c r="S23" s="54"/>
      <c r="T23" s="54">
        <v>290</v>
      </c>
      <c r="U23" s="54"/>
      <c r="V23" s="54">
        <v>529</v>
      </c>
      <c r="W23" s="54"/>
    </row>
    <row r="24" spans="1:23" ht="15.75" thickBot="1" x14ac:dyDescent="0.3">
      <c r="A24" s="9">
        <v>20</v>
      </c>
      <c r="B24" s="54" t="s">
        <v>37</v>
      </c>
      <c r="C24" s="54">
        <v>7341</v>
      </c>
      <c r="D24" s="54"/>
      <c r="E24" s="54">
        <v>134</v>
      </c>
      <c r="F24" s="54"/>
      <c r="G24" s="54">
        <v>153</v>
      </c>
      <c r="H24" s="54"/>
      <c r="I24" s="54">
        <v>666</v>
      </c>
      <c r="J24" s="54"/>
      <c r="K24" s="54">
        <v>30962.724999999999</v>
      </c>
      <c r="L24" s="54"/>
      <c r="M24" s="65"/>
      <c r="N24" s="65"/>
      <c r="O24" s="54" t="s">
        <v>37</v>
      </c>
      <c r="P24" s="54">
        <v>7341</v>
      </c>
      <c r="Q24" s="54"/>
      <c r="R24" s="54">
        <v>134</v>
      </c>
      <c r="S24" s="54"/>
      <c r="T24" s="54">
        <v>153</v>
      </c>
      <c r="U24" s="54"/>
      <c r="V24" s="54">
        <v>666</v>
      </c>
      <c r="W24" s="54"/>
    </row>
    <row r="25" spans="1:23" ht="15.75" thickBot="1" x14ac:dyDescent="0.3">
      <c r="A25" s="9">
        <v>21</v>
      </c>
      <c r="B25" s="54" t="s">
        <v>38</v>
      </c>
      <c r="C25" s="54">
        <v>2704</v>
      </c>
      <c r="D25" s="54"/>
      <c r="E25" s="54">
        <v>64</v>
      </c>
      <c r="F25" s="54"/>
      <c r="G25" s="54">
        <v>62</v>
      </c>
      <c r="H25" s="54"/>
      <c r="I25" s="54">
        <v>336</v>
      </c>
      <c r="J25" s="54"/>
      <c r="K25" s="54">
        <v>48143.7</v>
      </c>
      <c r="L25" s="54"/>
      <c r="M25" s="65"/>
      <c r="N25" s="65"/>
      <c r="O25" s="54" t="s">
        <v>38</v>
      </c>
      <c r="P25" s="54">
        <v>2704</v>
      </c>
      <c r="Q25" s="54"/>
      <c r="R25" s="54">
        <v>64</v>
      </c>
      <c r="S25" s="54"/>
      <c r="T25" s="54">
        <v>62</v>
      </c>
      <c r="U25" s="54"/>
      <c r="V25" s="54">
        <v>336</v>
      </c>
      <c r="W25" s="54"/>
    </row>
    <row r="26" spans="1:23" ht="15.75" thickBot="1" x14ac:dyDescent="0.3">
      <c r="A26" s="10"/>
      <c r="B26" s="52" t="s">
        <v>116</v>
      </c>
      <c r="C26" s="53">
        <f>SUM(C27:C32)</f>
        <v>29068</v>
      </c>
      <c r="D26" s="53">
        <f t="shared" ref="D26:L26" si="4">SUM(D27:D32)</f>
        <v>0</v>
      </c>
      <c r="E26" s="53">
        <f t="shared" si="4"/>
        <v>704</v>
      </c>
      <c r="F26" s="53">
        <f t="shared" si="4"/>
        <v>0</v>
      </c>
      <c r="G26" s="53">
        <f t="shared" si="4"/>
        <v>790</v>
      </c>
      <c r="H26" s="53">
        <f t="shared" si="4"/>
        <v>0</v>
      </c>
      <c r="I26" s="53">
        <f t="shared" si="4"/>
        <v>2291</v>
      </c>
      <c r="J26" s="53">
        <f t="shared" si="4"/>
        <v>0</v>
      </c>
      <c r="K26" s="53">
        <f t="shared" si="4"/>
        <v>2059602.9950000001</v>
      </c>
      <c r="L26" s="53">
        <f t="shared" si="4"/>
        <v>0</v>
      </c>
      <c r="M26" s="65"/>
      <c r="N26" s="65"/>
      <c r="O26" s="52" t="s">
        <v>116</v>
      </c>
      <c r="P26" s="53">
        <f>SUM(P27:P32)</f>
        <v>29068</v>
      </c>
      <c r="Q26" s="53">
        <f t="shared" ref="Q26:W26" si="5">SUM(Q27:Q32)</f>
        <v>0</v>
      </c>
      <c r="R26" s="53">
        <f t="shared" si="5"/>
        <v>704</v>
      </c>
      <c r="S26" s="53">
        <f t="shared" si="5"/>
        <v>0</v>
      </c>
      <c r="T26" s="53">
        <f t="shared" si="5"/>
        <v>790</v>
      </c>
      <c r="U26" s="53">
        <f t="shared" si="5"/>
        <v>0</v>
      </c>
      <c r="V26" s="53">
        <f t="shared" si="5"/>
        <v>2291</v>
      </c>
      <c r="W26" s="53">
        <f t="shared" si="5"/>
        <v>0</v>
      </c>
    </row>
    <row r="27" spans="1:23" ht="15.75" thickBot="1" x14ac:dyDescent="0.3">
      <c r="A27" s="9">
        <v>22</v>
      </c>
      <c r="B27" s="54" t="s">
        <v>39</v>
      </c>
      <c r="C27" s="54">
        <v>3202</v>
      </c>
      <c r="D27" s="54"/>
      <c r="E27" s="54">
        <v>76</v>
      </c>
      <c r="F27" s="54"/>
      <c r="G27" s="54">
        <v>80</v>
      </c>
      <c r="H27" s="54"/>
      <c r="I27" s="54">
        <v>320</v>
      </c>
      <c r="J27" s="54"/>
      <c r="K27" s="54">
        <v>111068.63400000001</v>
      </c>
      <c r="L27" s="54"/>
      <c r="M27" s="65"/>
      <c r="N27" s="65"/>
      <c r="O27" s="54" t="s">
        <v>39</v>
      </c>
      <c r="P27" s="54">
        <v>3202</v>
      </c>
      <c r="Q27" s="54"/>
      <c r="R27" s="54">
        <v>76</v>
      </c>
      <c r="S27" s="54"/>
      <c r="T27" s="54">
        <v>80</v>
      </c>
      <c r="U27" s="54"/>
      <c r="V27" s="54">
        <v>320</v>
      </c>
      <c r="W27" s="54"/>
    </row>
    <row r="28" spans="1:23" ht="15.75" thickBot="1" x14ac:dyDescent="0.3">
      <c r="A28" s="9">
        <v>23</v>
      </c>
      <c r="B28" s="54" t="s">
        <v>40</v>
      </c>
      <c r="C28" s="54">
        <v>8356</v>
      </c>
      <c r="D28" s="54"/>
      <c r="E28" s="54">
        <v>250</v>
      </c>
      <c r="F28" s="54"/>
      <c r="G28" s="54">
        <v>232</v>
      </c>
      <c r="H28" s="54"/>
      <c r="I28" s="54">
        <v>1120</v>
      </c>
      <c r="J28" s="54"/>
      <c r="K28" s="54">
        <v>1470234.3729999999</v>
      </c>
      <c r="L28" s="54"/>
      <c r="M28" s="65"/>
      <c r="N28" s="65"/>
      <c r="O28" s="54" t="s">
        <v>40</v>
      </c>
      <c r="P28" s="54">
        <v>8356</v>
      </c>
      <c r="Q28" s="54"/>
      <c r="R28" s="54">
        <v>250</v>
      </c>
      <c r="S28" s="54"/>
      <c r="T28" s="54">
        <v>232</v>
      </c>
      <c r="U28" s="54"/>
      <c r="V28" s="54">
        <v>1120</v>
      </c>
      <c r="W28" s="54"/>
    </row>
    <row r="29" spans="1:23" ht="15.75" thickBot="1" x14ac:dyDescent="0.3">
      <c r="A29" s="9">
        <v>24</v>
      </c>
      <c r="B29" s="54" t="s">
        <v>41</v>
      </c>
      <c r="C29" s="54">
        <v>4944</v>
      </c>
      <c r="D29" s="54"/>
      <c r="E29" s="54">
        <v>112</v>
      </c>
      <c r="F29" s="54"/>
      <c r="G29" s="54">
        <v>136</v>
      </c>
      <c r="H29" s="54"/>
      <c r="I29" s="54">
        <v>211</v>
      </c>
      <c r="J29" s="54"/>
      <c r="K29" s="54">
        <v>69189.225999999995</v>
      </c>
      <c r="L29" s="54"/>
      <c r="M29" s="65"/>
      <c r="N29" s="65"/>
      <c r="O29" s="54" t="s">
        <v>41</v>
      </c>
      <c r="P29" s="54">
        <v>4944</v>
      </c>
      <c r="Q29" s="54"/>
      <c r="R29" s="54">
        <v>112</v>
      </c>
      <c r="S29" s="54"/>
      <c r="T29" s="54">
        <v>136</v>
      </c>
      <c r="U29" s="54"/>
      <c r="V29" s="54">
        <v>211</v>
      </c>
      <c r="W29" s="54"/>
    </row>
    <row r="30" spans="1:23" ht="15.75" thickBot="1" x14ac:dyDescent="0.3">
      <c r="A30" s="9">
        <v>25</v>
      </c>
      <c r="B30" s="54" t="s">
        <v>42</v>
      </c>
      <c r="C30" s="54">
        <v>9326</v>
      </c>
      <c r="D30" s="54"/>
      <c r="E30" s="54">
        <v>175</v>
      </c>
      <c r="F30" s="54"/>
      <c r="G30" s="54">
        <v>203</v>
      </c>
      <c r="H30" s="54"/>
      <c r="I30" s="54">
        <v>277</v>
      </c>
      <c r="J30" s="54"/>
      <c r="K30" s="54">
        <v>39573.03</v>
      </c>
      <c r="L30" s="54"/>
      <c r="M30" s="65"/>
      <c r="N30" s="65"/>
      <c r="O30" s="54" t="s">
        <v>42</v>
      </c>
      <c r="P30" s="54">
        <v>9326</v>
      </c>
      <c r="Q30" s="54"/>
      <c r="R30" s="54">
        <v>175</v>
      </c>
      <c r="S30" s="54"/>
      <c r="T30" s="54">
        <v>203</v>
      </c>
      <c r="U30" s="54"/>
      <c r="V30" s="54">
        <v>277</v>
      </c>
      <c r="W30" s="54"/>
    </row>
    <row r="31" spans="1:23" ht="26.25" thickBot="1" x14ac:dyDescent="0.3">
      <c r="A31" s="9">
        <v>26</v>
      </c>
      <c r="B31" s="54" t="s">
        <v>43</v>
      </c>
      <c r="C31" s="54">
        <v>2339</v>
      </c>
      <c r="D31" s="54"/>
      <c r="E31" s="54">
        <v>53</v>
      </c>
      <c r="F31" s="54"/>
      <c r="G31" s="54">
        <v>91</v>
      </c>
      <c r="H31" s="54"/>
      <c r="I31" s="54">
        <v>179</v>
      </c>
      <c r="J31" s="54"/>
      <c r="K31" s="54">
        <v>203573.69500000001</v>
      </c>
      <c r="L31" s="54"/>
      <c r="M31" s="65"/>
      <c r="N31" s="65"/>
      <c r="O31" s="54" t="s">
        <v>43</v>
      </c>
      <c r="P31" s="54">
        <v>2339</v>
      </c>
      <c r="Q31" s="54"/>
      <c r="R31" s="54">
        <v>53</v>
      </c>
      <c r="S31" s="54"/>
      <c r="T31" s="54">
        <v>91</v>
      </c>
      <c r="U31" s="54"/>
      <c r="V31" s="54">
        <v>179</v>
      </c>
      <c r="W31" s="54"/>
    </row>
    <row r="32" spans="1:23" ht="26.25" thickBot="1" x14ac:dyDescent="0.3">
      <c r="A32" s="9">
        <v>27</v>
      </c>
      <c r="B32" s="54" t="s">
        <v>44</v>
      </c>
      <c r="C32" s="54">
        <v>901</v>
      </c>
      <c r="D32" s="54"/>
      <c r="E32" s="54">
        <v>38</v>
      </c>
      <c r="F32" s="54"/>
      <c r="G32" s="54">
        <v>48</v>
      </c>
      <c r="H32" s="54"/>
      <c r="I32" s="54">
        <v>184</v>
      </c>
      <c r="J32" s="54"/>
      <c r="K32" s="54">
        <v>165964.03700000001</v>
      </c>
      <c r="L32" s="54"/>
      <c r="M32" s="65"/>
      <c r="N32" s="65"/>
      <c r="O32" s="54" t="s">
        <v>44</v>
      </c>
      <c r="P32" s="54">
        <v>901</v>
      </c>
      <c r="Q32" s="54"/>
      <c r="R32" s="54">
        <v>38</v>
      </c>
      <c r="S32" s="54"/>
      <c r="T32" s="54">
        <v>48</v>
      </c>
      <c r="U32" s="54"/>
      <c r="V32" s="54">
        <v>184</v>
      </c>
      <c r="W32" s="54"/>
    </row>
    <row r="33" spans="1:23" ht="15.75" thickBot="1" x14ac:dyDescent="0.3">
      <c r="A33" s="8"/>
      <c r="B33" s="52" t="s">
        <v>117</v>
      </c>
      <c r="C33" s="53">
        <f>SUM(C34:C47)</f>
        <v>54885</v>
      </c>
      <c r="D33" s="53">
        <f t="shared" ref="D33:L33" si="6">SUM(D34:D47)</f>
        <v>0</v>
      </c>
      <c r="E33" s="53">
        <f t="shared" si="6"/>
        <v>1616</v>
      </c>
      <c r="F33" s="53">
        <f t="shared" si="6"/>
        <v>0</v>
      </c>
      <c r="G33" s="53">
        <f t="shared" si="6"/>
        <v>1833</v>
      </c>
      <c r="H33" s="53">
        <f t="shared" si="6"/>
        <v>0</v>
      </c>
      <c r="I33" s="53">
        <f t="shared" si="6"/>
        <v>5164</v>
      </c>
      <c r="J33" s="53">
        <f t="shared" si="6"/>
        <v>0</v>
      </c>
      <c r="K33" s="53">
        <f t="shared" si="6"/>
        <v>3329072.3889999995</v>
      </c>
      <c r="L33" s="53">
        <f t="shared" si="6"/>
        <v>0</v>
      </c>
      <c r="M33" s="65"/>
      <c r="N33" s="65"/>
      <c r="O33" s="52" t="s">
        <v>117</v>
      </c>
      <c r="P33" s="53">
        <f>SUM(P34:P47)</f>
        <v>54885</v>
      </c>
      <c r="Q33" s="53">
        <f t="shared" ref="Q33:W33" si="7">SUM(Q34:Q47)</f>
        <v>0</v>
      </c>
      <c r="R33" s="53">
        <f t="shared" si="7"/>
        <v>1616</v>
      </c>
      <c r="S33" s="53">
        <f t="shared" si="7"/>
        <v>0</v>
      </c>
      <c r="T33" s="53">
        <f t="shared" si="7"/>
        <v>1833</v>
      </c>
      <c r="U33" s="53">
        <f t="shared" si="7"/>
        <v>0</v>
      </c>
      <c r="V33" s="53">
        <f t="shared" si="7"/>
        <v>5164</v>
      </c>
      <c r="W33" s="53">
        <f t="shared" si="7"/>
        <v>0</v>
      </c>
    </row>
    <row r="34" spans="1:23" ht="15.75" thickBot="1" x14ac:dyDescent="0.3">
      <c r="A34" s="11">
        <v>28</v>
      </c>
      <c r="B34" s="55" t="s">
        <v>45</v>
      </c>
      <c r="C34" s="54">
        <v>10879</v>
      </c>
      <c r="D34" s="54"/>
      <c r="E34" s="54">
        <v>233</v>
      </c>
      <c r="F34" s="54"/>
      <c r="G34" s="54">
        <v>267</v>
      </c>
      <c r="H34" s="54"/>
      <c r="I34" s="54">
        <v>1206</v>
      </c>
      <c r="J34" s="54"/>
      <c r="K34" s="54">
        <v>457735.59499999997</v>
      </c>
      <c r="L34" s="54"/>
      <c r="M34" s="65"/>
      <c r="N34" s="65"/>
      <c r="O34" s="55" t="s">
        <v>45</v>
      </c>
      <c r="P34" s="54">
        <v>10879</v>
      </c>
      <c r="Q34" s="54"/>
      <c r="R34" s="54">
        <v>233</v>
      </c>
      <c r="S34" s="54"/>
      <c r="T34" s="54">
        <v>267</v>
      </c>
      <c r="U34" s="54"/>
      <c r="V34" s="54">
        <v>1206</v>
      </c>
      <c r="W34" s="54"/>
    </row>
    <row r="35" spans="1:23" ht="15.75" thickBot="1" x14ac:dyDescent="0.3">
      <c r="A35" s="11">
        <v>29</v>
      </c>
      <c r="B35" s="55" t="s">
        <v>46</v>
      </c>
      <c r="C35" s="54">
        <v>996</v>
      </c>
      <c r="D35" s="54"/>
      <c r="E35" s="54">
        <v>39</v>
      </c>
      <c r="F35" s="54"/>
      <c r="G35" s="54">
        <v>36</v>
      </c>
      <c r="H35" s="54"/>
      <c r="I35" s="54">
        <v>126</v>
      </c>
      <c r="J35" s="54"/>
      <c r="K35" s="54">
        <v>89095.913</v>
      </c>
      <c r="L35" s="54"/>
      <c r="M35" s="65"/>
      <c r="N35" s="65"/>
      <c r="O35" s="55" t="s">
        <v>46</v>
      </c>
      <c r="P35" s="54">
        <v>996</v>
      </c>
      <c r="Q35" s="54"/>
      <c r="R35" s="54">
        <v>39</v>
      </c>
      <c r="S35" s="54"/>
      <c r="T35" s="54">
        <v>36</v>
      </c>
      <c r="U35" s="54"/>
      <c r="V35" s="54">
        <v>126</v>
      </c>
      <c r="W35" s="54"/>
    </row>
    <row r="36" spans="1:23" ht="15.75" thickBot="1" x14ac:dyDescent="0.3">
      <c r="A36" s="11">
        <v>30</v>
      </c>
      <c r="B36" s="55" t="s">
        <v>47</v>
      </c>
      <c r="C36" s="54">
        <v>1878</v>
      </c>
      <c r="D36" s="54"/>
      <c r="E36" s="54">
        <v>41</v>
      </c>
      <c r="F36" s="54"/>
      <c r="G36" s="54">
        <v>30</v>
      </c>
      <c r="H36" s="54"/>
      <c r="I36" s="54">
        <v>62</v>
      </c>
      <c r="J36" s="54"/>
      <c r="K36" s="54">
        <v>233492.85699999999</v>
      </c>
      <c r="L36" s="54"/>
      <c r="M36" s="65"/>
      <c r="N36" s="65"/>
      <c r="O36" s="55" t="s">
        <v>47</v>
      </c>
      <c r="P36" s="54">
        <v>1878</v>
      </c>
      <c r="Q36" s="54"/>
      <c r="R36" s="54">
        <v>41</v>
      </c>
      <c r="S36" s="54"/>
      <c r="T36" s="54">
        <v>30</v>
      </c>
      <c r="U36" s="54"/>
      <c r="V36" s="54">
        <v>62</v>
      </c>
      <c r="W36" s="54"/>
    </row>
    <row r="37" spans="1:23" ht="15.75" thickBot="1" x14ac:dyDescent="0.3">
      <c r="A37" s="11">
        <v>31</v>
      </c>
      <c r="B37" s="55" t="s">
        <v>48</v>
      </c>
      <c r="C37" s="54">
        <v>4992</v>
      </c>
      <c r="D37" s="54"/>
      <c r="E37" s="54">
        <v>126</v>
      </c>
      <c r="F37" s="54"/>
      <c r="G37" s="54">
        <v>187</v>
      </c>
      <c r="H37" s="54"/>
      <c r="I37" s="54">
        <v>331</v>
      </c>
      <c r="J37" s="54"/>
      <c r="K37" s="54">
        <v>184839.658</v>
      </c>
      <c r="L37" s="54"/>
      <c r="M37" s="65"/>
      <c r="N37" s="65"/>
      <c r="O37" s="55" t="s">
        <v>48</v>
      </c>
      <c r="P37" s="54">
        <v>4992</v>
      </c>
      <c r="Q37" s="54"/>
      <c r="R37" s="54">
        <v>126</v>
      </c>
      <c r="S37" s="54"/>
      <c r="T37" s="54">
        <v>187</v>
      </c>
      <c r="U37" s="54"/>
      <c r="V37" s="54">
        <v>331</v>
      </c>
      <c r="W37" s="54"/>
    </row>
    <row r="38" spans="1:23" ht="15.75" thickBot="1" x14ac:dyDescent="0.3">
      <c r="A38" s="11">
        <v>32</v>
      </c>
      <c r="B38" s="55" t="s">
        <v>49</v>
      </c>
      <c r="C38" s="54">
        <v>1652</v>
      </c>
      <c r="D38" s="54"/>
      <c r="E38" s="54">
        <v>98</v>
      </c>
      <c r="F38" s="54"/>
      <c r="G38" s="54">
        <v>112</v>
      </c>
      <c r="H38" s="54"/>
      <c r="I38" s="54">
        <v>149</v>
      </c>
      <c r="J38" s="54"/>
      <c r="K38" s="54">
        <v>532391.12</v>
      </c>
      <c r="L38" s="54"/>
      <c r="M38" s="65"/>
      <c r="N38" s="65"/>
      <c r="O38" s="55" t="s">
        <v>49</v>
      </c>
      <c r="P38" s="54">
        <v>1652</v>
      </c>
      <c r="Q38" s="54"/>
      <c r="R38" s="54">
        <v>98</v>
      </c>
      <c r="S38" s="54"/>
      <c r="T38" s="54">
        <v>112</v>
      </c>
      <c r="U38" s="54"/>
      <c r="V38" s="54">
        <v>149</v>
      </c>
      <c r="W38" s="54"/>
    </row>
    <row r="39" spans="1:23" ht="15.75" thickBot="1" x14ac:dyDescent="0.3">
      <c r="A39" s="11">
        <v>33</v>
      </c>
      <c r="B39" s="277" t="s">
        <v>618</v>
      </c>
      <c r="C39" s="54">
        <v>1507</v>
      </c>
      <c r="D39" s="54"/>
      <c r="E39" s="54">
        <v>71</v>
      </c>
      <c r="F39" s="54"/>
      <c r="G39" s="54">
        <v>88</v>
      </c>
      <c r="H39" s="54"/>
      <c r="I39" s="54">
        <v>182</v>
      </c>
      <c r="J39" s="54"/>
      <c r="K39" s="54">
        <v>110857.636</v>
      </c>
      <c r="L39" s="54"/>
      <c r="M39" s="65"/>
      <c r="N39" s="65"/>
      <c r="O39" s="55" t="s">
        <v>50</v>
      </c>
      <c r="P39" s="54">
        <v>1507</v>
      </c>
      <c r="Q39" s="54"/>
      <c r="R39" s="54">
        <v>71</v>
      </c>
      <c r="S39" s="54"/>
      <c r="T39" s="54">
        <v>88</v>
      </c>
      <c r="U39" s="54"/>
      <c r="V39" s="54">
        <v>182</v>
      </c>
      <c r="W39" s="54"/>
    </row>
    <row r="40" spans="1:23" ht="15.75" thickBot="1" x14ac:dyDescent="0.3">
      <c r="A40" s="11">
        <v>34</v>
      </c>
      <c r="B40" s="55" t="s">
        <v>51</v>
      </c>
      <c r="C40" s="54">
        <v>4095</v>
      </c>
      <c r="D40" s="54"/>
      <c r="E40" s="54">
        <v>199</v>
      </c>
      <c r="F40" s="54"/>
      <c r="G40" s="54">
        <v>228</v>
      </c>
      <c r="H40" s="54"/>
      <c r="I40" s="54">
        <v>724</v>
      </c>
      <c r="J40" s="54"/>
      <c r="K40" s="54">
        <v>92158.201000000001</v>
      </c>
      <c r="L40" s="54"/>
      <c r="M40" s="65"/>
      <c r="N40" s="65"/>
      <c r="O40" s="55" t="s">
        <v>51</v>
      </c>
      <c r="P40" s="54">
        <v>4095</v>
      </c>
      <c r="Q40" s="54"/>
      <c r="R40" s="54">
        <v>199</v>
      </c>
      <c r="S40" s="54"/>
      <c r="T40" s="54">
        <v>228</v>
      </c>
      <c r="U40" s="54"/>
      <c r="V40" s="54">
        <v>724</v>
      </c>
      <c r="W40" s="54"/>
    </row>
    <row r="41" spans="1:23" ht="15.75" thickBot="1" x14ac:dyDescent="0.3">
      <c r="A41" s="11">
        <v>35</v>
      </c>
      <c r="B41" s="55" t="s">
        <v>52</v>
      </c>
      <c r="C41" s="54">
        <v>2040</v>
      </c>
      <c r="D41" s="54"/>
      <c r="E41" s="54">
        <v>133</v>
      </c>
      <c r="F41" s="54"/>
      <c r="G41" s="54">
        <v>116</v>
      </c>
      <c r="H41" s="54"/>
      <c r="I41" s="54">
        <v>537</v>
      </c>
      <c r="J41" s="54"/>
      <c r="K41" s="54">
        <v>114177.704</v>
      </c>
      <c r="L41" s="54"/>
      <c r="M41" s="65"/>
      <c r="N41" s="65"/>
      <c r="O41" s="55" t="s">
        <v>52</v>
      </c>
      <c r="P41" s="54">
        <v>2040</v>
      </c>
      <c r="Q41" s="54"/>
      <c r="R41" s="54">
        <v>133</v>
      </c>
      <c r="S41" s="54"/>
      <c r="T41" s="54">
        <v>116</v>
      </c>
      <c r="U41" s="54"/>
      <c r="V41" s="54">
        <v>537</v>
      </c>
      <c r="W41" s="54"/>
    </row>
    <row r="42" spans="1:23" ht="15.75" thickBot="1" x14ac:dyDescent="0.3">
      <c r="A42" s="11">
        <v>36</v>
      </c>
      <c r="B42" s="55" t="s">
        <v>53</v>
      </c>
      <c r="C42" s="54">
        <v>4128</v>
      </c>
      <c r="D42" s="54"/>
      <c r="E42" s="54">
        <v>156</v>
      </c>
      <c r="F42" s="54"/>
      <c r="G42" s="54">
        <v>201</v>
      </c>
      <c r="H42" s="54"/>
      <c r="I42" s="54">
        <v>668</v>
      </c>
      <c r="J42" s="54"/>
      <c r="K42" s="54">
        <v>164776.85200000001</v>
      </c>
      <c r="L42" s="54"/>
      <c r="M42" s="65"/>
      <c r="N42" s="65"/>
      <c r="O42" s="55" t="s">
        <v>53</v>
      </c>
      <c r="P42" s="54">
        <v>4128</v>
      </c>
      <c r="Q42" s="54"/>
      <c r="R42" s="54">
        <v>156</v>
      </c>
      <c r="S42" s="54"/>
      <c r="T42" s="54">
        <v>201</v>
      </c>
      <c r="U42" s="54"/>
      <c r="V42" s="54">
        <v>668</v>
      </c>
      <c r="W42" s="54"/>
    </row>
    <row r="43" spans="1:23" ht="15.75" thickBot="1" x14ac:dyDescent="0.3">
      <c r="A43" s="11">
        <v>37</v>
      </c>
      <c r="B43" s="55" t="s">
        <v>54</v>
      </c>
      <c r="C43" s="54">
        <v>5908</v>
      </c>
      <c r="D43" s="54"/>
      <c r="E43" s="54">
        <v>110</v>
      </c>
      <c r="F43" s="54"/>
      <c r="G43" s="54">
        <v>111</v>
      </c>
      <c r="H43" s="54"/>
      <c r="I43" s="54">
        <v>376</v>
      </c>
      <c r="J43" s="54"/>
      <c r="K43" s="54">
        <v>25381.552</v>
      </c>
      <c r="L43" s="54"/>
      <c r="M43" s="65"/>
      <c r="N43" s="65"/>
      <c r="O43" s="55" t="s">
        <v>54</v>
      </c>
      <c r="P43" s="54">
        <v>5908</v>
      </c>
      <c r="Q43" s="54"/>
      <c r="R43" s="54">
        <v>110</v>
      </c>
      <c r="S43" s="54"/>
      <c r="T43" s="54">
        <v>111</v>
      </c>
      <c r="U43" s="54"/>
      <c r="V43" s="54">
        <v>376</v>
      </c>
      <c r="W43" s="54"/>
    </row>
    <row r="44" spans="1:23" ht="15.75" thickBot="1" x14ac:dyDescent="0.3">
      <c r="A44" s="11">
        <v>38</v>
      </c>
      <c r="B44" s="55" t="s">
        <v>55</v>
      </c>
      <c r="C44" s="54">
        <v>2362</v>
      </c>
      <c r="D44" s="54"/>
      <c r="E44" s="54">
        <v>90</v>
      </c>
      <c r="F44" s="54"/>
      <c r="G44" s="54">
        <v>62</v>
      </c>
      <c r="H44" s="54"/>
      <c r="I44" s="54">
        <v>137</v>
      </c>
      <c r="J44" s="54"/>
      <c r="K44" s="54">
        <v>373115.39899999998</v>
      </c>
      <c r="L44" s="54"/>
      <c r="M44" s="65"/>
      <c r="N44" s="65"/>
      <c r="O44" s="55" t="s">
        <v>55</v>
      </c>
      <c r="P44" s="54">
        <v>2362</v>
      </c>
      <c r="Q44" s="54"/>
      <c r="R44" s="54">
        <v>90</v>
      </c>
      <c r="S44" s="54"/>
      <c r="T44" s="54">
        <v>62</v>
      </c>
      <c r="U44" s="54"/>
      <c r="V44" s="54">
        <v>137</v>
      </c>
      <c r="W44" s="54"/>
    </row>
    <row r="45" spans="1:23" ht="15.75" thickBot="1" x14ac:dyDescent="0.3">
      <c r="A45" s="11">
        <v>39</v>
      </c>
      <c r="B45" s="55" t="s">
        <v>56</v>
      </c>
      <c r="C45" s="54">
        <v>5926</v>
      </c>
      <c r="D45" s="54"/>
      <c r="E45" s="54">
        <v>109</v>
      </c>
      <c r="F45" s="54"/>
      <c r="G45" s="54">
        <v>169</v>
      </c>
      <c r="H45" s="54"/>
      <c r="I45" s="54">
        <v>170</v>
      </c>
      <c r="J45" s="54"/>
      <c r="K45" s="54">
        <v>98196.490999999995</v>
      </c>
      <c r="L45" s="54"/>
      <c r="M45" s="65"/>
      <c r="N45" s="65"/>
      <c r="O45" s="55" t="s">
        <v>56</v>
      </c>
      <c r="P45" s="54">
        <v>5926</v>
      </c>
      <c r="Q45" s="54"/>
      <c r="R45" s="54">
        <v>109</v>
      </c>
      <c r="S45" s="54"/>
      <c r="T45" s="54">
        <v>169</v>
      </c>
      <c r="U45" s="54"/>
      <c r="V45" s="54">
        <v>170</v>
      </c>
      <c r="W45" s="54"/>
    </row>
    <row r="46" spans="1:23" ht="15.75" thickBot="1" x14ac:dyDescent="0.3">
      <c r="A46" s="11">
        <v>40</v>
      </c>
      <c r="B46" s="55" t="s">
        <v>57</v>
      </c>
      <c r="C46" s="54">
        <v>5453</v>
      </c>
      <c r="D46" s="54"/>
      <c r="E46" s="54">
        <v>141</v>
      </c>
      <c r="F46" s="54"/>
      <c r="G46" s="54">
        <v>163</v>
      </c>
      <c r="H46" s="54"/>
      <c r="I46" s="54">
        <v>237</v>
      </c>
      <c r="J46" s="54"/>
      <c r="K46" s="54">
        <v>209302.614</v>
      </c>
      <c r="L46" s="54"/>
      <c r="M46" s="65"/>
      <c r="N46" s="65"/>
      <c r="O46" s="55" t="s">
        <v>57</v>
      </c>
      <c r="P46" s="54">
        <v>5453</v>
      </c>
      <c r="Q46" s="54"/>
      <c r="R46" s="54">
        <v>141</v>
      </c>
      <c r="S46" s="54"/>
      <c r="T46" s="54">
        <v>163</v>
      </c>
      <c r="U46" s="54"/>
      <c r="V46" s="54">
        <v>237</v>
      </c>
      <c r="W46" s="54"/>
    </row>
    <row r="47" spans="1:23" ht="15.75" thickBot="1" x14ac:dyDescent="0.3">
      <c r="A47" s="11">
        <v>41</v>
      </c>
      <c r="B47" s="55" t="s">
        <v>58</v>
      </c>
      <c r="C47" s="54">
        <v>3069</v>
      </c>
      <c r="D47" s="54"/>
      <c r="E47" s="54">
        <v>70</v>
      </c>
      <c r="F47" s="54"/>
      <c r="G47" s="54">
        <v>63</v>
      </c>
      <c r="H47" s="54"/>
      <c r="I47" s="54">
        <v>259</v>
      </c>
      <c r="J47" s="54"/>
      <c r="K47" s="54">
        <v>643550.79700000002</v>
      </c>
      <c r="L47" s="54"/>
      <c r="M47" s="65"/>
      <c r="N47" s="65"/>
      <c r="O47" s="55" t="s">
        <v>58</v>
      </c>
      <c r="P47" s="54">
        <v>3069</v>
      </c>
      <c r="Q47" s="54"/>
      <c r="R47" s="54">
        <v>70</v>
      </c>
      <c r="S47" s="54"/>
      <c r="T47" s="54">
        <v>63</v>
      </c>
      <c r="U47" s="54"/>
      <c r="V47" s="54">
        <v>259</v>
      </c>
      <c r="W47" s="54"/>
    </row>
    <row r="48" spans="1:23" ht="15.75" thickBot="1" x14ac:dyDescent="0.3">
      <c r="A48" s="8"/>
      <c r="B48" s="52" t="s">
        <v>118</v>
      </c>
      <c r="C48" s="53">
        <f>SUM(C49:C56)</f>
        <v>36598</v>
      </c>
      <c r="D48" s="53">
        <f t="shared" ref="D48:L48" si="8">SUM(D49:D56)</f>
        <v>0</v>
      </c>
      <c r="E48" s="53">
        <f t="shared" si="8"/>
        <v>663</v>
      </c>
      <c r="F48" s="53">
        <f t="shared" si="8"/>
        <v>0</v>
      </c>
      <c r="G48" s="53">
        <f t="shared" si="8"/>
        <v>591</v>
      </c>
      <c r="H48" s="53">
        <f t="shared" si="8"/>
        <v>0</v>
      </c>
      <c r="I48" s="53">
        <f t="shared" si="8"/>
        <v>5913</v>
      </c>
      <c r="J48" s="53">
        <f t="shared" si="8"/>
        <v>0</v>
      </c>
      <c r="K48" s="53">
        <f t="shared" si="8"/>
        <v>1432208.476</v>
      </c>
      <c r="L48" s="53">
        <f t="shared" si="8"/>
        <v>0</v>
      </c>
      <c r="M48" s="65"/>
      <c r="N48" s="65"/>
      <c r="O48" s="52" t="s">
        <v>118</v>
      </c>
      <c r="P48" s="53">
        <f>SUM(P49:P56)</f>
        <v>36598</v>
      </c>
      <c r="Q48" s="53">
        <f t="shared" ref="Q48:W48" si="9">SUM(Q49:Q56)</f>
        <v>0</v>
      </c>
      <c r="R48" s="53">
        <f t="shared" si="9"/>
        <v>663</v>
      </c>
      <c r="S48" s="53">
        <f t="shared" si="9"/>
        <v>0</v>
      </c>
      <c r="T48" s="53">
        <f t="shared" si="9"/>
        <v>591</v>
      </c>
      <c r="U48" s="53">
        <f t="shared" si="9"/>
        <v>0</v>
      </c>
      <c r="V48" s="53">
        <f t="shared" si="9"/>
        <v>5913</v>
      </c>
      <c r="W48" s="53">
        <f t="shared" si="9"/>
        <v>0</v>
      </c>
    </row>
    <row r="49" spans="1:23" ht="15.75" thickBot="1" x14ac:dyDescent="0.3">
      <c r="A49" s="9">
        <v>42</v>
      </c>
      <c r="B49" s="54" t="s">
        <v>59</v>
      </c>
      <c r="C49" s="54">
        <v>1244</v>
      </c>
      <c r="D49" s="54"/>
      <c r="E49" s="54">
        <v>17</v>
      </c>
      <c r="F49" s="54"/>
      <c r="G49" s="54">
        <v>4</v>
      </c>
      <c r="H49" s="54"/>
      <c r="I49" s="54">
        <v>94</v>
      </c>
      <c r="J49" s="54"/>
      <c r="K49" s="54">
        <v>59527.03</v>
      </c>
      <c r="L49" s="54"/>
      <c r="M49" s="65"/>
      <c r="N49" s="65"/>
      <c r="O49" s="54" t="s">
        <v>59</v>
      </c>
      <c r="P49" s="54">
        <v>1244</v>
      </c>
      <c r="Q49" s="54"/>
      <c r="R49" s="54">
        <v>17</v>
      </c>
      <c r="S49" s="54"/>
      <c r="T49" s="54">
        <v>4</v>
      </c>
      <c r="U49" s="54"/>
      <c r="V49" s="54">
        <v>94</v>
      </c>
      <c r="W49" s="54"/>
    </row>
    <row r="50" spans="1:23" ht="15.75" thickBot="1" x14ac:dyDescent="0.3">
      <c r="A50" s="9">
        <v>43</v>
      </c>
      <c r="B50" s="54" t="s">
        <v>60</v>
      </c>
      <c r="C50" s="54">
        <v>1669</v>
      </c>
      <c r="D50" s="54"/>
      <c r="E50" s="54">
        <v>8</v>
      </c>
      <c r="F50" s="54"/>
      <c r="G50" s="54">
        <v>12</v>
      </c>
      <c r="H50" s="54"/>
      <c r="I50" s="54">
        <v>98</v>
      </c>
      <c r="J50" s="54"/>
      <c r="K50" s="54">
        <v>3252.62</v>
      </c>
      <c r="L50" s="54"/>
      <c r="M50" s="65"/>
      <c r="N50" s="65"/>
      <c r="O50" s="54" t="s">
        <v>60</v>
      </c>
      <c r="P50" s="54">
        <v>1669</v>
      </c>
      <c r="Q50" s="54"/>
      <c r="R50" s="54">
        <v>8</v>
      </c>
      <c r="S50" s="54"/>
      <c r="T50" s="54">
        <v>12</v>
      </c>
      <c r="U50" s="54"/>
      <c r="V50" s="54">
        <v>98</v>
      </c>
      <c r="W50" s="54"/>
    </row>
    <row r="51" spans="1:23" ht="15.75" thickBot="1" x14ac:dyDescent="0.3">
      <c r="A51" s="9">
        <v>44</v>
      </c>
      <c r="B51" s="55" t="s">
        <v>61</v>
      </c>
      <c r="C51" s="54">
        <v>2910</v>
      </c>
      <c r="D51" s="54"/>
      <c r="E51" s="54">
        <v>74</v>
      </c>
      <c r="F51" s="54"/>
      <c r="G51" s="54">
        <v>48</v>
      </c>
      <c r="H51" s="54"/>
      <c r="I51" s="54">
        <v>90</v>
      </c>
      <c r="J51" s="54"/>
      <c r="K51" s="54">
        <v>178618.02799999999</v>
      </c>
      <c r="L51" s="54"/>
      <c r="M51" s="65"/>
      <c r="N51" s="65"/>
      <c r="O51" s="55" t="s">
        <v>61</v>
      </c>
      <c r="P51" s="54">
        <v>2910</v>
      </c>
      <c r="Q51" s="54"/>
      <c r="R51" s="54">
        <v>74</v>
      </c>
      <c r="S51" s="54"/>
      <c r="T51" s="54">
        <v>48</v>
      </c>
      <c r="U51" s="54"/>
      <c r="V51" s="54">
        <v>90</v>
      </c>
      <c r="W51" s="54"/>
    </row>
    <row r="52" spans="1:23" ht="15.75" thickBot="1" x14ac:dyDescent="0.3">
      <c r="A52" s="9">
        <v>45</v>
      </c>
      <c r="B52" s="54" t="s">
        <v>62</v>
      </c>
      <c r="C52" s="54">
        <v>9576</v>
      </c>
      <c r="D52" s="54"/>
      <c r="E52" s="54">
        <v>199</v>
      </c>
      <c r="F52" s="54"/>
      <c r="G52" s="54">
        <v>154</v>
      </c>
      <c r="H52" s="54"/>
      <c r="I52" s="54">
        <v>518</v>
      </c>
      <c r="J52" s="54"/>
      <c r="K52" s="54">
        <v>485708.81099999999</v>
      </c>
      <c r="L52" s="54"/>
      <c r="M52" s="65"/>
      <c r="N52" s="65"/>
      <c r="O52" s="54" t="s">
        <v>62</v>
      </c>
      <c r="P52" s="54">
        <v>9576</v>
      </c>
      <c r="Q52" s="54"/>
      <c r="R52" s="54">
        <v>199</v>
      </c>
      <c r="S52" s="54"/>
      <c r="T52" s="54">
        <v>154</v>
      </c>
      <c r="U52" s="54"/>
      <c r="V52" s="54">
        <v>518</v>
      </c>
      <c r="W52" s="54"/>
    </row>
    <row r="53" spans="1:23" ht="15.75" thickBot="1" x14ac:dyDescent="0.3">
      <c r="A53" s="9">
        <v>46</v>
      </c>
      <c r="B53" s="54" t="s">
        <v>63</v>
      </c>
      <c r="C53" s="54">
        <v>4862</v>
      </c>
      <c r="D53" s="54"/>
      <c r="E53" s="54">
        <v>41</v>
      </c>
      <c r="F53" s="54"/>
      <c r="G53" s="54">
        <v>35</v>
      </c>
      <c r="H53" s="54"/>
      <c r="I53" s="54">
        <v>3617</v>
      </c>
      <c r="J53" s="54"/>
      <c r="K53" s="54">
        <v>23301.258000000002</v>
      </c>
      <c r="L53" s="54"/>
      <c r="M53" s="65"/>
      <c r="N53" s="65"/>
      <c r="O53" s="54" t="s">
        <v>63</v>
      </c>
      <c r="P53" s="54">
        <v>4862</v>
      </c>
      <c r="Q53" s="54"/>
      <c r="R53" s="54">
        <v>41</v>
      </c>
      <c r="S53" s="54"/>
      <c r="T53" s="54">
        <v>35</v>
      </c>
      <c r="U53" s="54"/>
      <c r="V53" s="54">
        <v>3617</v>
      </c>
      <c r="W53" s="54"/>
    </row>
    <row r="54" spans="1:23" ht="15.75" thickBot="1" x14ac:dyDescent="0.3">
      <c r="A54" s="9">
        <v>47</v>
      </c>
      <c r="B54" s="54" t="s">
        <v>64</v>
      </c>
      <c r="C54" s="54">
        <v>6392</v>
      </c>
      <c r="D54" s="54"/>
      <c r="E54" s="54">
        <v>109</v>
      </c>
      <c r="F54" s="54"/>
      <c r="G54" s="54">
        <v>103</v>
      </c>
      <c r="H54" s="54"/>
      <c r="I54" s="54">
        <v>392</v>
      </c>
      <c r="J54" s="54"/>
      <c r="K54" s="54">
        <v>56596.017999999996</v>
      </c>
      <c r="L54" s="54"/>
      <c r="M54" s="65"/>
      <c r="N54" s="65"/>
      <c r="O54" s="54" t="s">
        <v>64</v>
      </c>
      <c r="P54" s="54">
        <v>6392</v>
      </c>
      <c r="Q54" s="54"/>
      <c r="R54" s="54">
        <v>109</v>
      </c>
      <c r="S54" s="54"/>
      <c r="T54" s="54">
        <v>103</v>
      </c>
      <c r="U54" s="54"/>
      <c r="V54" s="54">
        <v>392</v>
      </c>
      <c r="W54" s="54"/>
    </row>
    <row r="55" spans="1:23" ht="15.75" thickBot="1" x14ac:dyDescent="0.3">
      <c r="A55" s="9">
        <v>48</v>
      </c>
      <c r="B55" s="54" t="s">
        <v>65</v>
      </c>
      <c r="C55" s="54">
        <v>9043</v>
      </c>
      <c r="D55" s="54"/>
      <c r="E55" s="54">
        <v>201</v>
      </c>
      <c r="F55" s="54"/>
      <c r="G55" s="54">
        <v>222</v>
      </c>
      <c r="H55" s="54"/>
      <c r="I55" s="54">
        <v>1036</v>
      </c>
      <c r="J55" s="54"/>
      <c r="K55" s="54">
        <v>617331.53300000005</v>
      </c>
      <c r="L55" s="54"/>
      <c r="M55" s="65"/>
      <c r="N55" s="65"/>
      <c r="O55" s="54" t="s">
        <v>65</v>
      </c>
      <c r="P55" s="54">
        <v>9043</v>
      </c>
      <c r="Q55" s="54"/>
      <c r="R55" s="54">
        <v>201</v>
      </c>
      <c r="S55" s="54"/>
      <c r="T55" s="54">
        <v>222</v>
      </c>
      <c r="U55" s="54"/>
      <c r="V55" s="54">
        <v>1036</v>
      </c>
      <c r="W55" s="54"/>
    </row>
    <row r="56" spans="1:23" ht="15.75" thickBot="1" x14ac:dyDescent="0.3">
      <c r="A56" s="9">
        <v>49</v>
      </c>
      <c r="B56" s="55" t="s">
        <v>66</v>
      </c>
      <c r="C56" s="54">
        <v>902</v>
      </c>
      <c r="D56" s="54"/>
      <c r="E56" s="54">
        <v>14</v>
      </c>
      <c r="F56" s="54"/>
      <c r="G56" s="54">
        <v>13</v>
      </c>
      <c r="H56" s="54"/>
      <c r="I56" s="54">
        <v>68</v>
      </c>
      <c r="J56" s="54"/>
      <c r="K56" s="54">
        <v>7873.1779999999999</v>
      </c>
      <c r="L56" s="54"/>
      <c r="M56" s="65"/>
      <c r="N56" s="65"/>
      <c r="O56" s="55" t="s">
        <v>66</v>
      </c>
      <c r="P56" s="54">
        <v>902</v>
      </c>
      <c r="Q56" s="54"/>
      <c r="R56" s="54">
        <v>14</v>
      </c>
      <c r="S56" s="54"/>
      <c r="T56" s="54">
        <v>13</v>
      </c>
      <c r="U56" s="54"/>
      <c r="V56" s="54">
        <v>68</v>
      </c>
      <c r="W56" s="54"/>
    </row>
    <row r="57" spans="1:23" ht="15.75" thickBot="1" x14ac:dyDescent="0.3">
      <c r="A57" s="8"/>
      <c r="B57" s="52" t="s">
        <v>119</v>
      </c>
      <c r="C57" s="53">
        <f t="shared" ref="C57:L57" si="10">SUM(C58:C64)</f>
        <v>16027</v>
      </c>
      <c r="D57" s="53">
        <f t="shared" si="10"/>
        <v>0</v>
      </c>
      <c r="E57" s="53">
        <f t="shared" si="10"/>
        <v>171</v>
      </c>
      <c r="F57" s="53">
        <f t="shared" si="10"/>
        <v>0</v>
      </c>
      <c r="G57" s="53">
        <f t="shared" si="10"/>
        <v>332</v>
      </c>
      <c r="H57" s="53">
        <f t="shared" si="10"/>
        <v>0</v>
      </c>
      <c r="I57" s="53">
        <f t="shared" si="10"/>
        <v>1237</v>
      </c>
      <c r="J57" s="53">
        <f t="shared" si="10"/>
        <v>0</v>
      </c>
      <c r="K57" s="53">
        <f t="shared" si="10"/>
        <v>540386.06200000003</v>
      </c>
      <c r="L57" s="53">
        <f t="shared" si="10"/>
        <v>0</v>
      </c>
      <c r="M57" s="65"/>
      <c r="N57" s="65"/>
      <c r="O57" s="52" t="s">
        <v>119</v>
      </c>
      <c r="P57" s="53">
        <f t="shared" ref="P57:W57" si="11">SUM(P58:P64)</f>
        <v>16027</v>
      </c>
      <c r="Q57" s="53">
        <f t="shared" si="11"/>
        <v>0</v>
      </c>
      <c r="R57" s="53">
        <f t="shared" si="11"/>
        <v>171</v>
      </c>
      <c r="S57" s="53">
        <f t="shared" si="11"/>
        <v>0</v>
      </c>
      <c r="T57" s="53">
        <f t="shared" si="11"/>
        <v>332</v>
      </c>
      <c r="U57" s="53">
        <f t="shared" si="11"/>
        <v>0</v>
      </c>
      <c r="V57" s="53">
        <f t="shared" si="11"/>
        <v>1237</v>
      </c>
      <c r="W57" s="53">
        <f t="shared" si="11"/>
        <v>0</v>
      </c>
    </row>
    <row r="58" spans="1:23" ht="15.75" thickBot="1" x14ac:dyDescent="0.3">
      <c r="A58" s="11">
        <v>50</v>
      </c>
      <c r="B58" s="55" t="s">
        <v>67</v>
      </c>
      <c r="C58" s="54">
        <v>4036</v>
      </c>
      <c r="D58" s="54"/>
      <c r="E58" s="54">
        <v>25</v>
      </c>
      <c r="F58" s="54"/>
      <c r="G58" s="54">
        <v>45</v>
      </c>
      <c r="H58" s="54"/>
      <c r="I58" s="54">
        <v>425</v>
      </c>
      <c r="J58" s="54"/>
      <c r="K58" s="54">
        <v>364316.63099999999</v>
      </c>
      <c r="L58" s="54"/>
      <c r="M58" s="65"/>
      <c r="N58" s="65"/>
      <c r="O58" s="55" t="s">
        <v>67</v>
      </c>
      <c r="P58" s="54">
        <v>4036</v>
      </c>
      <c r="Q58" s="54"/>
      <c r="R58" s="54">
        <v>25</v>
      </c>
      <c r="S58" s="54"/>
      <c r="T58" s="54">
        <v>45</v>
      </c>
      <c r="U58" s="54"/>
      <c r="V58" s="54">
        <v>425</v>
      </c>
      <c r="W58" s="54"/>
    </row>
    <row r="59" spans="1:23" ht="15.75" thickBot="1" x14ac:dyDescent="0.3">
      <c r="A59" s="11">
        <v>51</v>
      </c>
      <c r="B59" s="55" t="s">
        <v>68</v>
      </c>
      <c r="C59" s="54">
        <v>379</v>
      </c>
      <c r="D59" s="54"/>
      <c r="E59" s="54">
        <v>8</v>
      </c>
      <c r="F59" s="54"/>
      <c r="G59" s="54">
        <v>12</v>
      </c>
      <c r="H59" s="54"/>
      <c r="I59" s="54">
        <v>21</v>
      </c>
      <c r="J59" s="54"/>
      <c r="K59" s="54">
        <v>315.5</v>
      </c>
      <c r="L59" s="54"/>
      <c r="M59" s="65"/>
      <c r="N59" s="65"/>
      <c r="O59" s="55" t="s">
        <v>68</v>
      </c>
      <c r="P59" s="54">
        <v>379</v>
      </c>
      <c r="Q59" s="54"/>
      <c r="R59" s="54">
        <v>8</v>
      </c>
      <c r="S59" s="54"/>
      <c r="T59" s="54">
        <v>12</v>
      </c>
      <c r="U59" s="54"/>
      <c r="V59" s="54">
        <v>21</v>
      </c>
      <c r="W59" s="54"/>
    </row>
    <row r="60" spans="1:23" ht="26.25" thickBot="1" x14ac:dyDescent="0.3">
      <c r="A60" s="11">
        <v>52</v>
      </c>
      <c r="B60" s="54" t="s">
        <v>69</v>
      </c>
      <c r="C60" s="54">
        <v>1469</v>
      </c>
      <c r="D60" s="54"/>
      <c r="E60" s="54">
        <v>18</v>
      </c>
      <c r="F60" s="54"/>
      <c r="G60" s="54">
        <v>54</v>
      </c>
      <c r="H60" s="54"/>
      <c r="I60" s="54">
        <v>25</v>
      </c>
      <c r="J60" s="54"/>
      <c r="K60" s="54">
        <v>17406.588</v>
      </c>
      <c r="L60" s="54"/>
      <c r="M60" s="65"/>
      <c r="N60" s="65"/>
      <c r="O60" s="54" t="s">
        <v>69</v>
      </c>
      <c r="P60" s="54">
        <v>1469</v>
      </c>
      <c r="Q60" s="54"/>
      <c r="R60" s="54">
        <v>18</v>
      </c>
      <c r="S60" s="54"/>
      <c r="T60" s="54">
        <v>54</v>
      </c>
      <c r="U60" s="54"/>
      <c r="V60" s="54">
        <v>25</v>
      </c>
      <c r="W60" s="54"/>
    </row>
    <row r="61" spans="1:23" ht="26.25" thickBot="1" x14ac:dyDescent="0.3">
      <c r="A61" s="11">
        <v>53</v>
      </c>
      <c r="B61" s="54" t="s">
        <v>70</v>
      </c>
      <c r="C61" s="54">
        <v>549</v>
      </c>
      <c r="D61" s="54"/>
      <c r="E61" s="54">
        <v>8</v>
      </c>
      <c r="F61" s="54"/>
      <c r="G61" s="54">
        <v>18</v>
      </c>
      <c r="H61" s="54"/>
      <c r="I61" s="54">
        <v>6</v>
      </c>
      <c r="J61" s="54"/>
      <c r="K61" s="54">
        <v>0</v>
      </c>
      <c r="L61" s="54"/>
      <c r="M61" s="65"/>
      <c r="N61" s="65"/>
      <c r="O61" s="54" t="s">
        <v>70</v>
      </c>
      <c r="P61" s="54">
        <v>549</v>
      </c>
      <c r="Q61" s="54"/>
      <c r="R61" s="54">
        <v>8</v>
      </c>
      <c r="S61" s="54"/>
      <c r="T61" s="54">
        <v>18</v>
      </c>
      <c r="U61" s="54"/>
      <c r="V61" s="54">
        <v>6</v>
      </c>
      <c r="W61" s="54"/>
    </row>
    <row r="62" spans="1:23" ht="26.25" thickBot="1" x14ac:dyDescent="0.3">
      <c r="A62" s="11">
        <v>54</v>
      </c>
      <c r="B62" s="54" t="s">
        <v>71</v>
      </c>
      <c r="C62" s="54">
        <v>1275</v>
      </c>
      <c r="D62" s="54"/>
      <c r="E62" s="54">
        <v>8</v>
      </c>
      <c r="F62" s="54"/>
      <c r="G62" s="54">
        <v>41</v>
      </c>
      <c r="H62" s="54"/>
      <c r="I62" s="54">
        <v>23</v>
      </c>
      <c r="J62" s="54"/>
      <c r="K62" s="54">
        <v>8109.3959999999997</v>
      </c>
      <c r="L62" s="54"/>
      <c r="M62" s="65"/>
      <c r="N62" s="65"/>
      <c r="O62" s="54" t="s">
        <v>71</v>
      </c>
      <c r="P62" s="54">
        <v>1275</v>
      </c>
      <c r="Q62" s="54"/>
      <c r="R62" s="54">
        <v>8</v>
      </c>
      <c r="S62" s="54"/>
      <c r="T62" s="54">
        <v>41</v>
      </c>
      <c r="U62" s="54"/>
      <c r="V62" s="54">
        <v>23</v>
      </c>
      <c r="W62" s="54"/>
    </row>
    <row r="63" spans="1:23" ht="15.75" thickBot="1" x14ac:dyDescent="0.3">
      <c r="A63" s="11">
        <v>55</v>
      </c>
      <c r="B63" s="55" t="s">
        <v>72</v>
      </c>
      <c r="C63" s="54">
        <v>1261</v>
      </c>
      <c r="D63" s="54"/>
      <c r="E63" s="54">
        <v>13</v>
      </c>
      <c r="F63" s="54"/>
      <c r="G63" s="54">
        <v>47</v>
      </c>
      <c r="H63" s="54"/>
      <c r="I63" s="54">
        <v>134</v>
      </c>
      <c r="J63" s="54"/>
      <c r="K63" s="54">
        <v>113741</v>
      </c>
      <c r="L63" s="54"/>
      <c r="M63" s="65"/>
      <c r="N63" s="65"/>
      <c r="O63" s="55" t="s">
        <v>72</v>
      </c>
      <c r="P63" s="54">
        <v>1261</v>
      </c>
      <c r="Q63" s="54"/>
      <c r="R63" s="54">
        <v>13</v>
      </c>
      <c r="S63" s="54"/>
      <c r="T63" s="54">
        <v>47</v>
      </c>
      <c r="U63" s="54"/>
      <c r="V63" s="54">
        <v>134</v>
      </c>
      <c r="W63" s="54"/>
    </row>
    <row r="64" spans="1:23" ht="15.75" thickBot="1" x14ac:dyDescent="0.3">
      <c r="A64" s="11">
        <v>56</v>
      </c>
      <c r="B64" s="55" t="s">
        <v>73</v>
      </c>
      <c r="C64" s="54">
        <v>7058</v>
      </c>
      <c r="D64" s="54"/>
      <c r="E64" s="54">
        <v>91</v>
      </c>
      <c r="F64" s="54"/>
      <c r="G64" s="54">
        <v>115</v>
      </c>
      <c r="H64" s="54"/>
      <c r="I64" s="54">
        <v>603</v>
      </c>
      <c r="J64" s="54"/>
      <c r="K64" s="54">
        <v>36496.947</v>
      </c>
      <c r="L64" s="54"/>
      <c r="M64" s="65"/>
      <c r="N64" s="65"/>
      <c r="O64" s="55" t="s">
        <v>73</v>
      </c>
      <c r="P64" s="54">
        <v>7058</v>
      </c>
      <c r="Q64" s="54"/>
      <c r="R64" s="54">
        <v>91</v>
      </c>
      <c r="S64" s="54"/>
      <c r="T64" s="54">
        <v>115</v>
      </c>
      <c r="U64" s="54"/>
      <c r="V64" s="54">
        <v>603</v>
      </c>
      <c r="W64" s="54"/>
    </row>
    <row r="65" spans="1:23" ht="15.75" thickBot="1" x14ac:dyDescent="0.3">
      <c r="A65" s="8"/>
      <c r="B65" s="52" t="s">
        <v>120</v>
      </c>
      <c r="C65" s="53">
        <f>SUM(C66:C76)</f>
        <v>35035</v>
      </c>
      <c r="D65" s="53">
        <f t="shared" ref="D65:L65" si="12">SUM(D66:D76)</f>
        <v>0</v>
      </c>
      <c r="E65" s="53">
        <f t="shared" si="12"/>
        <v>809</v>
      </c>
      <c r="F65" s="53">
        <f t="shared" si="12"/>
        <v>0</v>
      </c>
      <c r="G65" s="53">
        <f t="shared" si="12"/>
        <v>834</v>
      </c>
      <c r="H65" s="53">
        <f t="shared" si="12"/>
        <v>0</v>
      </c>
      <c r="I65" s="53">
        <f t="shared" si="12"/>
        <v>2454</v>
      </c>
      <c r="J65" s="53">
        <f t="shared" si="12"/>
        <v>0</v>
      </c>
      <c r="K65" s="53">
        <f t="shared" si="12"/>
        <v>1573334.3619999997</v>
      </c>
      <c r="L65" s="53">
        <f t="shared" si="12"/>
        <v>0</v>
      </c>
      <c r="M65" s="65"/>
      <c r="N65" s="65"/>
      <c r="O65" s="52" t="s">
        <v>120</v>
      </c>
      <c r="P65" s="53">
        <f>SUM(P66:P76)</f>
        <v>35035</v>
      </c>
      <c r="Q65" s="53">
        <f t="shared" ref="Q65:W65" si="13">SUM(Q66:Q76)</f>
        <v>0</v>
      </c>
      <c r="R65" s="53">
        <f t="shared" si="13"/>
        <v>809</v>
      </c>
      <c r="S65" s="53">
        <f t="shared" si="13"/>
        <v>0</v>
      </c>
      <c r="T65" s="53">
        <f t="shared" si="13"/>
        <v>834</v>
      </c>
      <c r="U65" s="53">
        <f t="shared" si="13"/>
        <v>0</v>
      </c>
      <c r="V65" s="53">
        <f t="shared" si="13"/>
        <v>2454</v>
      </c>
      <c r="W65" s="53">
        <f t="shared" si="13"/>
        <v>0</v>
      </c>
    </row>
    <row r="66" spans="1:23" ht="15.75" thickBot="1" x14ac:dyDescent="0.3">
      <c r="A66" s="11">
        <v>57</v>
      </c>
      <c r="B66" s="55" t="s">
        <v>74</v>
      </c>
      <c r="C66" s="54">
        <v>1429</v>
      </c>
      <c r="D66" s="54"/>
      <c r="E66" s="54">
        <v>42</v>
      </c>
      <c r="F66" s="54"/>
      <c r="G66" s="54">
        <v>55</v>
      </c>
      <c r="H66" s="54"/>
      <c r="I66" s="54">
        <v>286</v>
      </c>
      <c r="J66" s="54"/>
      <c r="K66" s="54">
        <v>14038.689</v>
      </c>
      <c r="L66" s="54"/>
      <c r="M66" s="65"/>
      <c r="N66" s="65"/>
      <c r="O66" s="55" t="s">
        <v>74</v>
      </c>
      <c r="P66" s="54">
        <v>1429</v>
      </c>
      <c r="Q66" s="54"/>
      <c r="R66" s="54">
        <v>42</v>
      </c>
      <c r="S66" s="54"/>
      <c r="T66" s="54">
        <v>55</v>
      </c>
      <c r="U66" s="54"/>
      <c r="V66" s="54">
        <v>286</v>
      </c>
      <c r="W66" s="54"/>
    </row>
    <row r="67" spans="1:23" ht="15.75" thickBot="1" x14ac:dyDescent="0.3">
      <c r="A67" s="9">
        <v>58</v>
      </c>
      <c r="B67" s="54" t="s">
        <v>75</v>
      </c>
      <c r="C67" s="54">
        <v>1222</v>
      </c>
      <c r="D67" s="54"/>
      <c r="E67" s="54">
        <v>65</v>
      </c>
      <c r="F67" s="54"/>
      <c r="G67" s="54">
        <v>36</v>
      </c>
      <c r="H67" s="54"/>
      <c r="I67" s="54">
        <v>371</v>
      </c>
      <c r="J67" s="54"/>
      <c r="K67" s="54">
        <v>168943.815</v>
      </c>
      <c r="L67" s="54"/>
      <c r="M67" s="65"/>
      <c r="N67" s="65"/>
      <c r="O67" s="54" t="s">
        <v>75</v>
      </c>
      <c r="P67" s="54">
        <v>1222</v>
      </c>
      <c r="Q67" s="54"/>
      <c r="R67" s="54">
        <v>65</v>
      </c>
      <c r="S67" s="54"/>
      <c r="T67" s="54">
        <v>36</v>
      </c>
      <c r="U67" s="54"/>
      <c r="V67" s="54">
        <v>371</v>
      </c>
      <c r="W67" s="54"/>
    </row>
    <row r="68" spans="1:23" ht="15.75" thickBot="1" x14ac:dyDescent="0.3">
      <c r="A68" s="11">
        <v>59</v>
      </c>
      <c r="B68" s="55" t="s">
        <v>76</v>
      </c>
      <c r="C68" s="54">
        <v>2497</v>
      </c>
      <c r="D68" s="54"/>
      <c r="E68" s="54">
        <v>105</v>
      </c>
      <c r="F68" s="54"/>
      <c r="G68" s="54">
        <v>95</v>
      </c>
      <c r="H68" s="54"/>
      <c r="I68" s="54">
        <v>307</v>
      </c>
      <c r="J68" s="54"/>
      <c r="K68" s="54">
        <v>500678.07</v>
      </c>
      <c r="L68" s="54"/>
      <c r="M68" s="65"/>
      <c r="N68" s="65"/>
      <c r="O68" s="55" t="s">
        <v>76</v>
      </c>
      <c r="P68" s="54">
        <v>2497</v>
      </c>
      <c r="Q68" s="54"/>
      <c r="R68" s="54">
        <v>105</v>
      </c>
      <c r="S68" s="54"/>
      <c r="T68" s="54">
        <v>95</v>
      </c>
      <c r="U68" s="54"/>
      <c r="V68" s="54">
        <v>307</v>
      </c>
      <c r="W68" s="54"/>
    </row>
    <row r="69" spans="1:23" ht="15.75" thickBot="1" x14ac:dyDescent="0.3">
      <c r="A69" s="9">
        <v>60</v>
      </c>
      <c r="B69" s="55" t="s">
        <v>77</v>
      </c>
      <c r="C69" s="54">
        <v>2072</v>
      </c>
      <c r="D69" s="54"/>
      <c r="E69" s="54">
        <v>81</v>
      </c>
      <c r="F69" s="54"/>
      <c r="G69" s="54">
        <v>115</v>
      </c>
      <c r="H69" s="54"/>
      <c r="I69" s="54">
        <v>234</v>
      </c>
      <c r="J69" s="54"/>
      <c r="K69" s="54">
        <v>38505.976999999999</v>
      </c>
      <c r="L69" s="54"/>
      <c r="M69" s="65"/>
      <c r="N69" s="65"/>
      <c r="O69" s="55" t="s">
        <v>77</v>
      </c>
      <c r="P69" s="54">
        <v>2072</v>
      </c>
      <c r="Q69" s="54"/>
      <c r="R69" s="54">
        <v>81</v>
      </c>
      <c r="S69" s="54"/>
      <c r="T69" s="54">
        <v>115</v>
      </c>
      <c r="U69" s="54"/>
      <c r="V69" s="54">
        <v>234</v>
      </c>
      <c r="W69" s="54"/>
    </row>
    <row r="70" spans="1:23" ht="15.75" thickBot="1" x14ac:dyDescent="0.3">
      <c r="A70" s="11">
        <v>61</v>
      </c>
      <c r="B70" s="54" t="s">
        <v>78</v>
      </c>
      <c r="C70" s="54">
        <v>4288</v>
      </c>
      <c r="D70" s="54"/>
      <c r="E70" s="54">
        <v>44</v>
      </c>
      <c r="F70" s="54"/>
      <c r="G70" s="54">
        <v>85</v>
      </c>
      <c r="H70" s="54"/>
      <c r="I70" s="54">
        <v>277</v>
      </c>
      <c r="J70" s="54"/>
      <c r="K70" s="54">
        <v>150040.035</v>
      </c>
      <c r="L70" s="54"/>
      <c r="M70" s="65"/>
      <c r="N70" s="65"/>
      <c r="O70" s="54" t="s">
        <v>78</v>
      </c>
      <c r="P70" s="54">
        <v>4288</v>
      </c>
      <c r="Q70" s="54"/>
      <c r="R70" s="54">
        <v>44</v>
      </c>
      <c r="S70" s="54"/>
      <c r="T70" s="54">
        <v>85</v>
      </c>
      <c r="U70" s="54"/>
      <c r="V70" s="54">
        <v>277</v>
      </c>
      <c r="W70" s="54"/>
    </row>
    <row r="71" spans="1:23" ht="15.75" thickBot="1" x14ac:dyDescent="0.3">
      <c r="A71" s="9">
        <v>62</v>
      </c>
      <c r="B71" s="55" t="s">
        <v>79</v>
      </c>
      <c r="C71" s="54">
        <v>6926</v>
      </c>
      <c r="D71" s="54"/>
      <c r="E71" s="54">
        <v>153</v>
      </c>
      <c r="F71" s="54"/>
      <c r="G71" s="54">
        <v>110</v>
      </c>
      <c r="H71" s="54"/>
      <c r="I71" s="54">
        <v>361</v>
      </c>
      <c r="J71" s="54"/>
      <c r="K71" s="54">
        <v>67441.638999999996</v>
      </c>
      <c r="L71" s="54"/>
      <c r="M71" s="65"/>
      <c r="N71" s="65"/>
      <c r="O71" s="55" t="s">
        <v>79</v>
      </c>
      <c r="P71" s="54">
        <v>6926</v>
      </c>
      <c r="Q71" s="54"/>
      <c r="R71" s="54">
        <v>153</v>
      </c>
      <c r="S71" s="54"/>
      <c r="T71" s="54">
        <v>110</v>
      </c>
      <c r="U71" s="54"/>
      <c r="V71" s="54">
        <v>361</v>
      </c>
      <c r="W71" s="54"/>
    </row>
    <row r="72" spans="1:23" ht="15.75" thickBot="1" x14ac:dyDescent="0.3">
      <c r="A72" s="11">
        <v>63</v>
      </c>
      <c r="B72" s="55" t="s">
        <v>80</v>
      </c>
      <c r="C72" s="54">
        <v>2364</v>
      </c>
      <c r="D72" s="54"/>
      <c r="E72" s="54">
        <v>22</v>
      </c>
      <c r="F72" s="54"/>
      <c r="G72" s="54">
        <v>46</v>
      </c>
      <c r="H72" s="54"/>
      <c r="I72" s="54">
        <v>158</v>
      </c>
      <c r="J72" s="54"/>
      <c r="K72" s="54">
        <v>30034.304</v>
      </c>
      <c r="L72" s="54"/>
      <c r="M72" s="65"/>
      <c r="N72" s="65"/>
      <c r="O72" s="55" t="s">
        <v>80</v>
      </c>
      <c r="P72" s="54">
        <v>2364</v>
      </c>
      <c r="Q72" s="54"/>
      <c r="R72" s="54">
        <v>22</v>
      </c>
      <c r="S72" s="54"/>
      <c r="T72" s="54">
        <v>46</v>
      </c>
      <c r="U72" s="54"/>
      <c r="V72" s="54">
        <v>158</v>
      </c>
      <c r="W72" s="54"/>
    </row>
    <row r="73" spans="1:23" ht="15.75" thickBot="1" x14ac:dyDescent="0.3">
      <c r="A73" s="9">
        <v>64</v>
      </c>
      <c r="B73" s="55" t="s">
        <v>81</v>
      </c>
      <c r="C73" s="54">
        <v>1952</v>
      </c>
      <c r="D73" s="54"/>
      <c r="E73" s="54">
        <v>83</v>
      </c>
      <c r="F73" s="54"/>
      <c r="G73" s="54">
        <v>56</v>
      </c>
      <c r="H73" s="54"/>
      <c r="I73" s="54">
        <v>108</v>
      </c>
      <c r="J73" s="54"/>
      <c r="K73" s="54">
        <v>62775.148000000001</v>
      </c>
      <c r="L73" s="54"/>
      <c r="M73" s="65"/>
      <c r="N73" s="65"/>
      <c r="O73" s="55" t="s">
        <v>81</v>
      </c>
      <c r="P73" s="54">
        <v>1952</v>
      </c>
      <c r="Q73" s="54"/>
      <c r="R73" s="54">
        <v>83</v>
      </c>
      <c r="S73" s="54"/>
      <c r="T73" s="54">
        <v>56</v>
      </c>
      <c r="U73" s="54"/>
      <c r="V73" s="54">
        <v>108</v>
      </c>
      <c r="W73" s="54"/>
    </row>
    <row r="74" spans="1:23" ht="15.75" thickBot="1" x14ac:dyDescent="0.3">
      <c r="A74" s="11">
        <v>65</v>
      </c>
      <c r="B74" s="54" t="s">
        <v>82</v>
      </c>
      <c r="C74" s="54">
        <v>3350</v>
      </c>
      <c r="D74" s="54"/>
      <c r="E74" s="54">
        <v>81</v>
      </c>
      <c r="F74" s="54"/>
      <c r="G74" s="54">
        <v>36</v>
      </c>
      <c r="H74" s="54"/>
      <c r="I74" s="54">
        <v>43</v>
      </c>
      <c r="J74" s="54"/>
      <c r="K74" s="54">
        <v>317608.098</v>
      </c>
      <c r="L74" s="54"/>
      <c r="M74" s="65"/>
      <c r="N74" s="65"/>
      <c r="O74" s="54" t="s">
        <v>82</v>
      </c>
      <c r="P74" s="54">
        <v>3350</v>
      </c>
      <c r="Q74" s="54"/>
      <c r="R74" s="54">
        <v>81</v>
      </c>
      <c r="S74" s="54"/>
      <c r="T74" s="54">
        <v>36</v>
      </c>
      <c r="U74" s="54"/>
      <c r="V74" s="54">
        <v>43</v>
      </c>
      <c r="W74" s="54"/>
    </row>
    <row r="75" spans="1:23" ht="15.75" thickBot="1" x14ac:dyDescent="0.3">
      <c r="A75" s="9">
        <v>66</v>
      </c>
      <c r="B75" s="54" t="s">
        <v>83</v>
      </c>
      <c r="C75" s="54">
        <v>149</v>
      </c>
      <c r="D75" s="54"/>
      <c r="E75" s="54">
        <v>2</v>
      </c>
      <c r="F75" s="54"/>
      <c r="G75" s="54">
        <v>4</v>
      </c>
      <c r="H75" s="54"/>
      <c r="I75" s="54">
        <v>25</v>
      </c>
      <c r="J75" s="54"/>
      <c r="K75" s="54">
        <v>1242.809</v>
      </c>
      <c r="L75" s="54"/>
      <c r="M75" s="65"/>
      <c r="N75" s="65"/>
      <c r="O75" s="54" t="s">
        <v>83</v>
      </c>
      <c r="P75" s="54">
        <v>149</v>
      </c>
      <c r="Q75" s="54"/>
      <c r="R75" s="54">
        <v>2</v>
      </c>
      <c r="S75" s="54"/>
      <c r="T75" s="54">
        <v>4</v>
      </c>
      <c r="U75" s="54"/>
      <c r="V75" s="54">
        <v>25</v>
      </c>
      <c r="W75" s="54"/>
    </row>
    <row r="76" spans="1:23" ht="15.75" thickBot="1" x14ac:dyDescent="0.3">
      <c r="A76" s="11">
        <v>67</v>
      </c>
      <c r="B76" s="54" t="s">
        <v>84</v>
      </c>
      <c r="C76" s="54">
        <v>8786</v>
      </c>
      <c r="D76" s="54"/>
      <c r="E76" s="54">
        <v>131</v>
      </c>
      <c r="F76" s="54"/>
      <c r="G76" s="54">
        <v>196</v>
      </c>
      <c r="H76" s="54"/>
      <c r="I76" s="54">
        <v>284</v>
      </c>
      <c r="J76" s="54"/>
      <c r="K76" s="54">
        <v>222025.77799999999</v>
      </c>
      <c r="L76" s="54"/>
      <c r="M76" s="65"/>
      <c r="N76" s="65"/>
      <c r="O76" s="54" t="s">
        <v>84</v>
      </c>
      <c r="P76" s="54">
        <v>8786</v>
      </c>
      <c r="Q76" s="54"/>
      <c r="R76" s="54">
        <v>131</v>
      </c>
      <c r="S76" s="54"/>
      <c r="T76" s="54">
        <v>196</v>
      </c>
      <c r="U76" s="54"/>
      <c r="V76" s="54">
        <v>284</v>
      </c>
      <c r="W76" s="54"/>
    </row>
    <row r="77" spans="1:23" ht="15.75" thickBot="1" x14ac:dyDescent="0.3">
      <c r="A77" s="10"/>
      <c r="B77" s="52" t="s">
        <v>121</v>
      </c>
      <c r="C77" s="53">
        <f t="shared" ref="C77:L77" si="14">SUM(C78:C95)</f>
        <v>73030</v>
      </c>
      <c r="D77" s="53">
        <f t="shared" si="14"/>
        <v>0</v>
      </c>
      <c r="E77" s="53">
        <f t="shared" si="14"/>
        <v>1891</v>
      </c>
      <c r="F77" s="53">
        <f t="shared" si="14"/>
        <v>0</v>
      </c>
      <c r="G77" s="53">
        <f t="shared" si="14"/>
        <v>1800</v>
      </c>
      <c r="H77" s="53">
        <f t="shared" si="14"/>
        <v>0</v>
      </c>
      <c r="I77" s="53">
        <f t="shared" si="14"/>
        <v>4944</v>
      </c>
      <c r="J77" s="53">
        <f t="shared" si="14"/>
        <v>0</v>
      </c>
      <c r="K77" s="53">
        <f t="shared" si="14"/>
        <v>6218371.5359999994</v>
      </c>
      <c r="L77" s="53">
        <f t="shared" si="14"/>
        <v>0</v>
      </c>
      <c r="M77" s="65"/>
      <c r="N77" s="65"/>
      <c r="O77" s="52" t="s">
        <v>121</v>
      </c>
      <c r="P77" s="53">
        <f t="shared" ref="P77:W77" si="15">SUM(P78:P95)</f>
        <v>73030</v>
      </c>
      <c r="Q77" s="53">
        <f t="shared" si="15"/>
        <v>0</v>
      </c>
      <c r="R77" s="53">
        <f t="shared" si="15"/>
        <v>1891</v>
      </c>
      <c r="S77" s="53">
        <f t="shared" si="15"/>
        <v>0</v>
      </c>
      <c r="T77" s="53">
        <f t="shared" si="15"/>
        <v>1800</v>
      </c>
      <c r="U77" s="53">
        <f t="shared" si="15"/>
        <v>0</v>
      </c>
      <c r="V77" s="53">
        <f t="shared" si="15"/>
        <v>4944</v>
      </c>
      <c r="W77" s="53">
        <f t="shared" si="15"/>
        <v>0</v>
      </c>
    </row>
    <row r="78" spans="1:23" ht="15.75" thickBot="1" x14ac:dyDescent="0.3">
      <c r="A78" s="9">
        <v>68</v>
      </c>
      <c r="B78" s="54" t="s">
        <v>85</v>
      </c>
      <c r="C78" s="54">
        <v>2219</v>
      </c>
      <c r="D78" s="54"/>
      <c r="E78" s="54">
        <v>69</v>
      </c>
      <c r="F78" s="54"/>
      <c r="G78" s="54">
        <v>42</v>
      </c>
      <c r="H78" s="54"/>
      <c r="I78" s="54">
        <v>76</v>
      </c>
      <c r="J78" s="54"/>
      <c r="K78" s="54">
        <v>424429.00300000003</v>
      </c>
      <c r="L78" s="54"/>
      <c r="M78" s="65"/>
      <c r="N78" s="65"/>
      <c r="O78" s="54" t="s">
        <v>85</v>
      </c>
      <c r="P78" s="54">
        <v>2219</v>
      </c>
      <c r="Q78" s="54"/>
      <c r="R78" s="54">
        <v>69</v>
      </c>
      <c r="S78" s="54"/>
      <c r="T78" s="54">
        <v>42</v>
      </c>
      <c r="U78" s="54"/>
      <c r="V78" s="54">
        <v>76</v>
      </c>
      <c r="W78" s="54"/>
    </row>
    <row r="79" spans="1:23" ht="15.75" thickBot="1" x14ac:dyDescent="0.3">
      <c r="A79" s="9">
        <v>69</v>
      </c>
      <c r="B79" s="54" t="s">
        <v>86</v>
      </c>
      <c r="C79" s="54">
        <v>3069</v>
      </c>
      <c r="D79" s="54"/>
      <c r="E79" s="54">
        <v>86</v>
      </c>
      <c r="F79" s="54"/>
      <c r="G79" s="54">
        <v>78</v>
      </c>
      <c r="H79" s="54"/>
      <c r="I79" s="54">
        <v>67</v>
      </c>
      <c r="J79" s="54"/>
      <c r="K79" s="54">
        <v>349150.77</v>
      </c>
      <c r="L79" s="54"/>
      <c r="M79" s="65"/>
      <c r="N79" s="65"/>
      <c r="O79" s="54" t="s">
        <v>86</v>
      </c>
      <c r="P79" s="54">
        <v>3069</v>
      </c>
      <c r="Q79" s="54"/>
      <c r="R79" s="54">
        <v>86</v>
      </c>
      <c r="S79" s="54"/>
      <c r="T79" s="54">
        <v>78</v>
      </c>
      <c r="U79" s="54"/>
      <c r="V79" s="54">
        <v>67</v>
      </c>
      <c r="W79" s="54"/>
    </row>
    <row r="80" spans="1:23" ht="15.75" thickBot="1" x14ac:dyDescent="0.3">
      <c r="A80" s="9">
        <v>70</v>
      </c>
      <c r="B80" s="54" t="s">
        <v>87</v>
      </c>
      <c r="C80" s="54">
        <v>3361</v>
      </c>
      <c r="D80" s="54"/>
      <c r="E80" s="54">
        <v>127</v>
      </c>
      <c r="F80" s="54"/>
      <c r="G80" s="54">
        <v>84</v>
      </c>
      <c r="H80" s="54"/>
      <c r="I80" s="54">
        <v>307</v>
      </c>
      <c r="J80" s="54"/>
      <c r="K80" s="54">
        <v>521802.15899999999</v>
      </c>
      <c r="L80" s="54"/>
      <c r="M80" s="65"/>
      <c r="N80" s="65"/>
      <c r="O80" s="54" t="s">
        <v>87</v>
      </c>
      <c r="P80" s="54">
        <v>3361</v>
      </c>
      <c r="Q80" s="54"/>
      <c r="R80" s="54">
        <v>127</v>
      </c>
      <c r="S80" s="54"/>
      <c r="T80" s="54">
        <v>84</v>
      </c>
      <c r="U80" s="54"/>
      <c r="V80" s="54">
        <v>307</v>
      </c>
      <c r="W80" s="54"/>
    </row>
    <row r="81" spans="1:23" ht="15.75" thickBot="1" x14ac:dyDescent="0.3">
      <c r="A81" s="9">
        <v>71</v>
      </c>
      <c r="B81" s="54" t="s">
        <v>88</v>
      </c>
      <c r="C81" s="54">
        <v>4315</v>
      </c>
      <c r="D81" s="54"/>
      <c r="E81" s="54">
        <v>130</v>
      </c>
      <c r="F81" s="54"/>
      <c r="G81" s="54">
        <v>145</v>
      </c>
      <c r="H81" s="54"/>
      <c r="I81" s="54">
        <v>314</v>
      </c>
      <c r="J81" s="54"/>
      <c r="K81" s="54">
        <v>63283.555999999997</v>
      </c>
      <c r="L81" s="54"/>
      <c r="M81" s="65"/>
      <c r="N81" s="65"/>
      <c r="O81" s="54" t="s">
        <v>88</v>
      </c>
      <c r="P81" s="54">
        <v>4315</v>
      </c>
      <c r="Q81" s="54"/>
      <c r="R81" s="54">
        <v>130</v>
      </c>
      <c r="S81" s="54"/>
      <c r="T81" s="54">
        <v>145</v>
      </c>
      <c r="U81" s="54"/>
      <c r="V81" s="54">
        <v>314</v>
      </c>
      <c r="W81" s="54"/>
    </row>
    <row r="82" spans="1:23" ht="15.75" thickBot="1" x14ac:dyDescent="0.3">
      <c r="A82" s="9">
        <v>72</v>
      </c>
      <c r="B82" s="54" t="s">
        <v>89</v>
      </c>
      <c r="C82" s="54">
        <v>3249</v>
      </c>
      <c r="D82" s="54"/>
      <c r="E82" s="54">
        <v>93</v>
      </c>
      <c r="F82" s="54"/>
      <c r="G82" s="54">
        <v>60</v>
      </c>
      <c r="H82" s="54"/>
      <c r="I82" s="54">
        <v>684</v>
      </c>
      <c r="J82" s="54"/>
      <c r="K82" s="54">
        <v>5097.8540000000003</v>
      </c>
      <c r="L82" s="54"/>
      <c r="M82" s="65"/>
      <c r="N82" s="65"/>
      <c r="O82" s="54" t="s">
        <v>89</v>
      </c>
      <c r="P82" s="54">
        <v>3249</v>
      </c>
      <c r="Q82" s="54"/>
      <c r="R82" s="54">
        <v>93</v>
      </c>
      <c r="S82" s="54"/>
      <c r="T82" s="54">
        <v>60</v>
      </c>
      <c r="U82" s="54"/>
      <c r="V82" s="54">
        <v>684</v>
      </c>
      <c r="W82" s="54"/>
    </row>
    <row r="83" spans="1:23" ht="15.75" thickBot="1" x14ac:dyDescent="0.3">
      <c r="A83" s="9">
        <v>73</v>
      </c>
      <c r="B83" s="54" t="s">
        <v>90</v>
      </c>
      <c r="C83" s="54">
        <v>2717</v>
      </c>
      <c r="D83" s="54"/>
      <c r="E83" s="54">
        <v>67</v>
      </c>
      <c r="F83" s="54"/>
      <c r="G83" s="54">
        <v>36</v>
      </c>
      <c r="H83" s="54"/>
      <c r="I83" s="54">
        <v>289</v>
      </c>
      <c r="J83" s="54"/>
      <c r="K83" s="54">
        <v>522080.72200000001</v>
      </c>
      <c r="L83" s="54"/>
      <c r="M83" s="65"/>
      <c r="N83" s="65"/>
      <c r="O83" s="54" t="s">
        <v>90</v>
      </c>
      <c r="P83" s="54">
        <v>2717</v>
      </c>
      <c r="Q83" s="54"/>
      <c r="R83" s="54">
        <v>67</v>
      </c>
      <c r="S83" s="54"/>
      <c r="T83" s="54">
        <v>36</v>
      </c>
      <c r="U83" s="54"/>
      <c r="V83" s="54">
        <v>289</v>
      </c>
      <c r="W83" s="54"/>
    </row>
    <row r="84" spans="1:23" ht="15.75" thickBot="1" x14ac:dyDescent="0.3">
      <c r="A84" s="9">
        <v>74</v>
      </c>
      <c r="B84" s="54" t="s">
        <v>91</v>
      </c>
      <c r="C84" s="54">
        <v>1339</v>
      </c>
      <c r="D84" s="54"/>
      <c r="E84" s="54">
        <v>72</v>
      </c>
      <c r="F84" s="54"/>
      <c r="G84" s="54">
        <v>55</v>
      </c>
      <c r="H84" s="54"/>
      <c r="I84" s="54">
        <v>140</v>
      </c>
      <c r="J84" s="54"/>
      <c r="K84" s="54">
        <v>19692.289000000001</v>
      </c>
      <c r="L84" s="54"/>
      <c r="M84" s="65"/>
      <c r="N84" s="65"/>
      <c r="O84" s="54" t="s">
        <v>91</v>
      </c>
      <c r="P84" s="54">
        <v>1339</v>
      </c>
      <c r="Q84" s="54"/>
      <c r="R84" s="54">
        <v>72</v>
      </c>
      <c r="S84" s="54"/>
      <c r="T84" s="54">
        <v>55</v>
      </c>
      <c r="U84" s="54"/>
      <c r="V84" s="54">
        <v>140</v>
      </c>
      <c r="W84" s="54"/>
    </row>
    <row r="85" spans="1:23" ht="15.75" thickBot="1" x14ac:dyDescent="0.3">
      <c r="A85" s="9">
        <v>75</v>
      </c>
      <c r="B85" s="55" t="s">
        <v>92</v>
      </c>
      <c r="C85" s="54">
        <v>3089</v>
      </c>
      <c r="D85" s="54"/>
      <c r="E85" s="54">
        <v>77</v>
      </c>
      <c r="F85" s="54"/>
      <c r="G85" s="54">
        <v>27</v>
      </c>
      <c r="H85" s="54"/>
      <c r="I85" s="54">
        <v>285</v>
      </c>
      <c r="J85" s="54"/>
      <c r="K85" s="54">
        <v>133000.35</v>
      </c>
      <c r="L85" s="54"/>
      <c r="M85" s="65"/>
      <c r="N85" s="65"/>
      <c r="O85" s="55" t="s">
        <v>92</v>
      </c>
      <c r="P85" s="54">
        <v>3089</v>
      </c>
      <c r="Q85" s="54"/>
      <c r="R85" s="54">
        <v>77</v>
      </c>
      <c r="S85" s="54"/>
      <c r="T85" s="54">
        <v>27</v>
      </c>
      <c r="U85" s="54"/>
      <c r="V85" s="54">
        <v>285</v>
      </c>
      <c r="W85" s="54"/>
    </row>
    <row r="86" spans="1:23" ht="15.75" thickBot="1" x14ac:dyDescent="0.3">
      <c r="A86" s="9">
        <v>76</v>
      </c>
      <c r="B86" s="54" t="s">
        <v>93</v>
      </c>
      <c r="C86" s="54">
        <v>2745</v>
      </c>
      <c r="D86" s="54"/>
      <c r="E86" s="54">
        <v>75</v>
      </c>
      <c r="F86" s="54"/>
      <c r="G86" s="54">
        <v>99</v>
      </c>
      <c r="H86" s="54"/>
      <c r="I86" s="54">
        <v>133</v>
      </c>
      <c r="J86" s="54"/>
      <c r="K86" s="54">
        <v>197523.897</v>
      </c>
      <c r="L86" s="54"/>
      <c r="M86" s="65"/>
      <c r="N86" s="65"/>
      <c r="O86" s="54" t="s">
        <v>93</v>
      </c>
      <c r="P86" s="54">
        <v>2745</v>
      </c>
      <c r="Q86" s="54"/>
      <c r="R86" s="54">
        <v>75</v>
      </c>
      <c r="S86" s="54"/>
      <c r="T86" s="54">
        <v>99</v>
      </c>
      <c r="U86" s="54"/>
      <c r="V86" s="54">
        <v>133</v>
      </c>
      <c r="W86" s="54"/>
    </row>
    <row r="87" spans="1:23" ht="15.75" thickBot="1" x14ac:dyDescent="0.3">
      <c r="A87" s="9">
        <v>77</v>
      </c>
      <c r="B87" s="54" t="s">
        <v>94</v>
      </c>
      <c r="C87" s="54">
        <v>17462</v>
      </c>
      <c r="D87" s="54"/>
      <c r="E87" s="54">
        <v>373</v>
      </c>
      <c r="F87" s="54"/>
      <c r="G87" s="54">
        <v>358</v>
      </c>
      <c r="H87" s="54"/>
      <c r="I87" s="54">
        <v>1065</v>
      </c>
      <c r="J87" s="54"/>
      <c r="K87" s="54">
        <v>489645.37099999998</v>
      </c>
      <c r="L87" s="54"/>
      <c r="M87" s="65"/>
      <c r="N87" s="65"/>
      <c r="O87" s="54" t="s">
        <v>94</v>
      </c>
      <c r="P87" s="54">
        <v>17462</v>
      </c>
      <c r="Q87" s="54"/>
      <c r="R87" s="54">
        <v>373</v>
      </c>
      <c r="S87" s="54"/>
      <c r="T87" s="54">
        <v>358</v>
      </c>
      <c r="U87" s="54"/>
      <c r="V87" s="54">
        <v>1065</v>
      </c>
      <c r="W87" s="54"/>
    </row>
    <row r="88" spans="1:23" ht="15.75" thickBot="1" x14ac:dyDescent="0.3">
      <c r="A88" s="9">
        <v>78</v>
      </c>
      <c r="B88" s="54" t="s">
        <v>95</v>
      </c>
      <c r="C88" s="54">
        <v>1936</v>
      </c>
      <c r="D88" s="54"/>
      <c r="E88" s="54">
        <v>47</v>
      </c>
      <c r="F88" s="54"/>
      <c r="G88" s="54">
        <v>30</v>
      </c>
      <c r="H88" s="54"/>
      <c r="I88" s="54">
        <v>111</v>
      </c>
      <c r="J88" s="54"/>
      <c r="K88" s="54">
        <v>905795.45700000005</v>
      </c>
      <c r="L88" s="54"/>
      <c r="M88" s="65"/>
      <c r="N88" s="65"/>
      <c r="O88" s="54" t="s">
        <v>95</v>
      </c>
      <c r="P88" s="54">
        <v>1936</v>
      </c>
      <c r="Q88" s="54"/>
      <c r="R88" s="54">
        <v>47</v>
      </c>
      <c r="S88" s="54"/>
      <c r="T88" s="54">
        <v>30</v>
      </c>
      <c r="U88" s="54"/>
      <c r="V88" s="54">
        <v>111</v>
      </c>
      <c r="W88" s="54"/>
    </row>
    <row r="89" spans="1:23" ht="15.75" thickBot="1" x14ac:dyDescent="0.3">
      <c r="A89" s="9">
        <v>79</v>
      </c>
      <c r="B89" s="54" t="s">
        <v>96</v>
      </c>
      <c r="C89" s="54">
        <v>2750</v>
      </c>
      <c r="D89" s="54"/>
      <c r="E89" s="54">
        <v>69</v>
      </c>
      <c r="F89" s="54"/>
      <c r="G89" s="54">
        <v>79</v>
      </c>
      <c r="H89" s="54"/>
      <c r="I89" s="54">
        <v>59</v>
      </c>
      <c r="J89" s="54"/>
      <c r="K89" s="54">
        <v>426714.64299999998</v>
      </c>
      <c r="L89" s="54"/>
      <c r="M89" s="65"/>
      <c r="N89" s="65"/>
      <c r="O89" s="54" t="s">
        <v>96</v>
      </c>
      <c r="P89" s="54">
        <v>2750</v>
      </c>
      <c r="Q89" s="54"/>
      <c r="R89" s="54">
        <v>69</v>
      </c>
      <c r="S89" s="54"/>
      <c r="T89" s="54">
        <v>79</v>
      </c>
      <c r="U89" s="54"/>
      <c r="V89" s="54">
        <v>59</v>
      </c>
      <c r="W89" s="54"/>
    </row>
    <row r="90" spans="1:23" ht="15.75" thickBot="1" x14ac:dyDescent="0.3">
      <c r="A90" s="9">
        <v>80</v>
      </c>
      <c r="B90" s="54" t="s">
        <v>97</v>
      </c>
      <c r="C90" s="54">
        <v>3335</v>
      </c>
      <c r="D90" s="54"/>
      <c r="E90" s="54">
        <v>79</v>
      </c>
      <c r="F90" s="54"/>
      <c r="G90" s="54">
        <v>40</v>
      </c>
      <c r="H90" s="54"/>
      <c r="I90" s="54">
        <v>30</v>
      </c>
      <c r="J90" s="54"/>
      <c r="K90" s="54">
        <v>76162.028000000006</v>
      </c>
      <c r="L90" s="54"/>
      <c r="M90" s="65"/>
      <c r="N90" s="65"/>
      <c r="O90" s="54" t="s">
        <v>97</v>
      </c>
      <c r="P90" s="54">
        <v>3335</v>
      </c>
      <c r="Q90" s="54"/>
      <c r="R90" s="54">
        <v>79</v>
      </c>
      <c r="S90" s="54"/>
      <c r="T90" s="54">
        <v>40</v>
      </c>
      <c r="U90" s="54"/>
      <c r="V90" s="54">
        <v>30</v>
      </c>
      <c r="W90" s="54"/>
    </row>
    <row r="91" spans="1:23" ht="15.75" thickBot="1" x14ac:dyDescent="0.3">
      <c r="A91" s="9">
        <v>81</v>
      </c>
      <c r="B91" s="54" t="s">
        <v>98</v>
      </c>
      <c r="C91" s="54">
        <v>2583</v>
      </c>
      <c r="D91" s="54"/>
      <c r="E91" s="54">
        <v>62</v>
      </c>
      <c r="F91" s="54"/>
      <c r="G91" s="54">
        <v>37</v>
      </c>
      <c r="H91" s="54"/>
      <c r="I91" s="54">
        <v>108</v>
      </c>
      <c r="J91" s="54"/>
      <c r="K91" s="54">
        <v>382381.6</v>
      </c>
      <c r="L91" s="54"/>
      <c r="M91" s="65"/>
      <c r="N91" s="65"/>
      <c r="O91" s="54" t="s">
        <v>98</v>
      </c>
      <c r="P91" s="54">
        <v>2583</v>
      </c>
      <c r="Q91" s="54"/>
      <c r="R91" s="54">
        <v>62</v>
      </c>
      <c r="S91" s="54"/>
      <c r="T91" s="54">
        <v>37</v>
      </c>
      <c r="U91" s="54"/>
      <c r="V91" s="54">
        <v>108</v>
      </c>
      <c r="W91" s="54"/>
    </row>
    <row r="92" spans="1:23" ht="15.75" thickBot="1" x14ac:dyDescent="0.3">
      <c r="A92" s="9">
        <v>82</v>
      </c>
      <c r="B92" s="54" t="s">
        <v>99</v>
      </c>
      <c r="C92" s="54">
        <v>3488</v>
      </c>
      <c r="D92" s="54"/>
      <c r="E92" s="54">
        <v>129</v>
      </c>
      <c r="F92" s="54"/>
      <c r="G92" s="54">
        <v>69</v>
      </c>
      <c r="H92" s="54"/>
      <c r="I92" s="54">
        <v>113</v>
      </c>
      <c r="J92" s="54"/>
      <c r="K92" s="54">
        <v>462130.83899999998</v>
      </c>
      <c r="L92" s="54"/>
      <c r="M92" s="65"/>
      <c r="N92" s="65"/>
      <c r="O92" s="54" t="s">
        <v>99</v>
      </c>
      <c r="P92" s="54">
        <v>3488</v>
      </c>
      <c r="Q92" s="54"/>
      <c r="R92" s="54">
        <v>129</v>
      </c>
      <c r="S92" s="54"/>
      <c r="T92" s="54">
        <v>69</v>
      </c>
      <c r="U92" s="54"/>
      <c r="V92" s="54">
        <v>113</v>
      </c>
      <c r="W92" s="54"/>
    </row>
    <row r="93" spans="1:23" ht="15.75" thickBot="1" x14ac:dyDescent="0.3">
      <c r="A93" s="9">
        <v>83</v>
      </c>
      <c r="B93" s="54" t="s">
        <v>100</v>
      </c>
      <c r="C93" s="54">
        <v>5016</v>
      </c>
      <c r="D93" s="54"/>
      <c r="E93" s="54">
        <v>73</v>
      </c>
      <c r="F93" s="54"/>
      <c r="G93" s="54">
        <v>68</v>
      </c>
      <c r="H93" s="54"/>
      <c r="I93" s="54">
        <v>203</v>
      </c>
      <c r="J93" s="54"/>
      <c r="K93" s="54">
        <v>355847.94400000002</v>
      </c>
      <c r="L93" s="54"/>
      <c r="M93" s="65"/>
      <c r="N93" s="65"/>
      <c r="O93" s="54" t="s">
        <v>100</v>
      </c>
      <c r="P93" s="54">
        <v>5016</v>
      </c>
      <c r="Q93" s="54"/>
      <c r="R93" s="54">
        <v>73</v>
      </c>
      <c r="S93" s="54"/>
      <c r="T93" s="54">
        <v>68</v>
      </c>
      <c r="U93" s="54"/>
      <c r="V93" s="54">
        <v>203</v>
      </c>
      <c r="W93" s="54"/>
    </row>
    <row r="94" spans="1:23" ht="15.75" thickBot="1" x14ac:dyDescent="0.3">
      <c r="A94" s="9">
        <v>84</v>
      </c>
      <c r="B94" s="54" t="s">
        <v>101</v>
      </c>
      <c r="C94" s="54">
        <v>3434</v>
      </c>
      <c r="D94" s="54"/>
      <c r="E94" s="54">
        <v>90</v>
      </c>
      <c r="F94" s="54"/>
      <c r="G94" s="54">
        <v>142</v>
      </c>
      <c r="H94" s="54"/>
      <c r="I94" s="54">
        <v>162</v>
      </c>
      <c r="J94" s="54"/>
      <c r="K94" s="54">
        <v>485249.20400000003</v>
      </c>
      <c r="L94" s="54"/>
      <c r="M94" s="65"/>
      <c r="N94" s="65"/>
      <c r="O94" s="54" t="s">
        <v>101</v>
      </c>
      <c r="P94" s="54">
        <v>3434</v>
      </c>
      <c r="Q94" s="54"/>
      <c r="R94" s="54">
        <v>90</v>
      </c>
      <c r="S94" s="54"/>
      <c r="T94" s="54">
        <v>142</v>
      </c>
      <c r="U94" s="54"/>
      <c r="V94" s="54">
        <v>162</v>
      </c>
      <c r="W94" s="54"/>
    </row>
    <row r="95" spans="1:23" ht="15.75" thickBot="1" x14ac:dyDescent="0.3">
      <c r="A95" s="9">
        <v>85</v>
      </c>
      <c r="B95" s="55" t="s">
        <v>102</v>
      </c>
      <c r="C95" s="54">
        <v>6923</v>
      </c>
      <c r="D95" s="54"/>
      <c r="E95" s="54">
        <v>173</v>
      </c>
      <c r="F95" s="54"/>
      <c r="G95" s="54">
        <v>351</v>
      </c>
      <c r="H95" s="54"/>
      <c r="I95" s="54">
        <v>798</v>
      </c>
      <c r="J95" s="54"/>
      <c r="K95" s="54">
        <v>398383.85</v>
      </c>
      <c r="L95" s="54"/>
      <c r="M95" s="65"/>
      <c r="N95" s="65"/>
      <c r="O95" s="55" t="s">
        <v>102</v>
      </c>
      <c r="P95" s="54">
        <v>6923</v>
      </c>
      <c r="Q95" s="54"/>
      <c r="R95" s="54">
        <v>173</v>
      </c>
      <c r="S95" s="54"/>
      <c r="T95" s="54">
        <v>351</v>
      </c>
      <c r="U95" s="54"/>
      <c r="V95" s="54">
        <v>798</v>
      </c>
      <c r="W95" s="54"/>
    </row>
    <row r="96" spans="1:23" s="14" customFormat="1" ht="13.5" thickBot="1" x14ac:dyDescent="0.25">
      <c r="A96" s="183"/>
      <c r="B96" s="187"/>
      <c r="C96" s="184">
        <f>SUM(C97:C100)</f>
        <v>0</v>
      </c>
      <c r="D96" s="185">
        <f t="shared" ref="D96:L96" si="16">SUM(D97:D100)</f>
        <v>0</v>
      </c>
      <c r="E96" s="185">
        <f t="shared" si="16"/>
        <v>0</v>
      </c>
      <c r="F96" s="185">
        <f t="shared" si="16"/>
        <v>0</v>
      </c>
      <c r="G96" s="185">
        <f t="shared" si="16"/>
        <v>0</v>
      </c>
      <c r="H96" s="185">
        <f t="shared" si="16"/>
        <v>0</v>
      </c>
      <c r="I96" s="185">
        <f t="shared" si="16"/>
        <v>0</v>
      </c>
      <c r="J96" s="185">
        <f t="shared" si="16"/>
        <v>0</v>
      </c>
      <c r="K96" s="185">
        <f t="shared" si="16"/>
        <v>0</v>
      </c>
      <c r="L96" s="185">
        <f t="shared" si="16"/>
        <v>0</v>
      </c>
    </row>
    <row r="97" spans="1:23" s="14" customFormat="1" ht="13.5" thickBot="1" x14ac:dyDescent="0.25">
      <c r="A97" s="9">
        <v>86</v>
      </c>
      <c r="B97" s="11" t="s">
        <v>608</v>
      </c>
      <c r="C97" s="1">
        <v>0</v>
      </c>
      <c r="D97" s="2"/>
      <c r="E97" s="2">
        <v>0</v>
      </c>
      <c r="F97" s="2"/>
      <c r="G97" s="2">
        <v>0</v>
      </c>
      <c r="H97" s="2"/>
      <c r="I97" s="2">
        <v>0</v>
      </c>
      <c r="J97" s="54"/>
      <c r="K97" s="54">
        <v>0</v>
      </c>
      <c r="L97" s="54"/>
    </row>
    <row r="98" spans="1:23" s="14" customFormat="1" ht="13.5" thickBot="1" x14ac:dyDescent="0.25">
      <c r="A98" s="9">
        <v>87</v>
      </c>
      <c r="B98" s="11" t="s">
        <v>609</v>
      </c>
      <c r="C98" s="1">
        <v>0</v>
      </c>
      <c r="D98" s="186"/>
      <c r="E98" s="2">
        <v>0</v>
      </c>
      <c r="F98" s="2"/>
      <c r="G98" s="2">
        <v>0</v>
      </c>
      <c r="H98" s="2"/>
      <c r="I98" s="2">
        <v>0</v>
      </c>
      <c r="J98" s="54"/>
      <c r="K98" s="54">
        <v>0</v>
      </c>
      <c r="L98" s="54"/>
    </row>
    <row r="99" spans="1:23" s="14" customFormat="1" ht="13.5" thickBot="1" x14ac:dyDescent="0.25">
      <c r="A99" s="9">
        <v>88</v>
      </c>
      <c r="B99" s="11" t="s">
        <v>610</v>
      </c>
      <c r="C99" s="1">
        <v>0</v>
      </c>
      <c r="D99" s="2"/>
      <c r="E99" s="2">
        <v>0</v>
      </c>
      <c r="F99" s="2"/>
      <c r="G99" s="2">
        <v>0</v>
      </c>
      <c r="H99" s="2"/>
      <c r="I99" s="2">
        <v>0</v>
      </c>
      <c r="J99" s="54"/>
      <c r="K99" s="54">
        <v>0</v>
      </c>
      <c r="L99" s="54"/>
    </row>
    <row r="100" spans="1:23" s="14" customFormat="1" ht="13.5" thickBot="1" x14ac:dyDescent="0.25">
      <c r="A100" s="9">
        <v>89</v>
      </c>
      <c r="B100" s="11" t="s">
        <v>611</v>
      </c>
      <c r="C100" s="1">
        <v>0</v>
      </c>
      <c r="D100" s="2"/>
      <c r="E100" s="2">
        <v>0</v>
      </c>
      <c r="F100" s="2"/>
      <c r="G100" s="2">
        <v>0</v>
      </c>
      <c r="H100" s="2"/>
      <c r="I100" s="2">
        <v>0</v>
      </c>
      <c r="J100" s="54"/>
      <c r="K100" s="54">
        <v>0</v>
      </c>
      <c r="L100" s="54"/>
    </row>
    <row r="101" spans="1:23" ht="31.15" customHeight="1" thickBot="1" x14ac:dyDescent="0.3">
      <c r="A101" s="183"/>
      <c r="B101" s="66" t="s">
        <v>247</v>
      </c>
      <c r="C101" s="67">
        <f>SUM(C3,C15,C26,C33,C48,C57,C65,C77,)</f>
        <v>351093</v>
      </c>
      <c r="D101" s="67">
        <f t="shared" ref="D101:L101" si="17">SUM(D3,D15,D26,D33,D48,D57,D65,D77,)</f>
        <v>0</v>
      </c>
      <c r="E101" s="67">
        <f t="shared" si="17"/>
        <v>7675</v>
      </c>
      <c r="F101" s="67">
        <f t="shared" si="17"/>
        <v>0</v>
      </c>
      <c r="G101" s="67">
        <f t="shared" si="17"/>
        <v>8086</v>
      </c>
      <c r="H101" s="67">
        <f t="shared" si="17"/>
        <v>0</v>
      </c>
      <c r="I101" s="67">
        <f t="shared" si="17"/>
        <v>28663</v>
      </c>
      <c r="J101" s="67">
        <f t="shared" si="17"/>
        <v>0</v>
      </c>
      <c r="K101" s="67">
        <f t="shared" si="17"/>
        <v>18345539.851999998</v>
      </c>
      <c r="L101" s="67">
        <f t="shared" si="17"/>
        <v>0</v>
      </c>
      <c r="M101" s="65"/>
      <c r="N101" s="65"/>
      <c r="O101" s="56" t="s">
        <v>125</v>
      </c>
      <c r="P101" s="57">
        <f>SUM(P3,P15,P26,P33,P48,P57,P65,P77,)</f>
        <v>351093</v>
      </c>
      <c r="Q101" s="57">
        <f t="shared" ref="Q101:W101" si="18">SUM(Q3,Q15,Q26,Q33,Q48,Q57,Q65,Q77,)</f>
        <v>0</v>
      </c>
      <c r="R101" s="57">
        <f t="shared" si="18"/>
        <v>7675</v>
      </c>
      <c r="S101" s="57">
        <f t="shared" si="18"/>
        <v>0</v>
      </c>
      <c r="T101" s="57">
        <f t="shared" si="18"/>
        <v>8086</v>
      </c>
      <c r="U101" s="57">
        <f t="shared" si="18"/>
        <v>0</v>
      </c>
      <c r="V101" s="57">
        <f>SUM(V3,V15,V26,V33,V48,V57,V65,V77,)</f>
        <v>28663</v>
      </c>
      <c r="W101" s="57">
        <f t="shared" si="18"/>
        <v>0</v>
      </c>
    </row>
    <row r="104" spans="1:23" x14ac:dyDescent="0.25">
      <c r="A104" s="211" t="s">
        <v>215</v>
      </c>
      <c r="B104" s="211"/>
    </row>
    <row r="106" spans="1:23" x14ac:dyDescent="0.25">
      <c r="A106" s="3"/>
    </row>
    <row r="107" spans="1:23" x14ac:dyDescent="0.25">
      <c r="A107" s="3"/>
    </row>
  </sheetData>
  <mergeCells count="13">
    <mergeCell ref="A1:A2"/>
    <mergeCell ref="A104:B104"/>
    <mergeCell ref="V1:W1"/>
    <mergeCell ref="K1:L1"/>
    <mergeCell ref="O1:O2"/>
    <mergeCell ref="P1:Q1"/>
    <mergeCell ref="R1:S1"/>
    <mergeCell ref="T1:U1"/>
    <mergeCell ref="B1:B2"/>
    <mergeCell ref="C1:D1"/>
    <mergeCell ref="E1:F1"/>
    <mergeCell ref="G1:H1"/>
    <mergeCell ref="I1:J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07"/>
  <sheetViews>
    <sheetView tabSelected="1" zoomScale="85" zoomScaleNormal="85" workbookViewId="0">
      <selection activeCell="E23" sqref="E23"/>
    </sheetView>
  </sheetViews>
  <sheetFormatPr defaultRowHeight="15" x14ac:dyDescent="0.25"/>
  <cols>
    <col min="1" max="1" width="8.140625" style="14" customWidth="1"/>
    <col min="2" max="2" width="29.28515625" customWidth="1"/>
    <col min="3" max="10" width="15.28515625" customWidth="1"/>
  </cols>
  <sheetData>
    <row r="1" spans="1:10" ht="64.150000000000006" customHeight="1" thickBot="1" x14ac:dyDescent="0.3">
      <c r="A1" s="205" t="s">
        <v>607</v>
      </c>
      <c r="B1" s="218" t="s">
        <v>103</v>
      </c>
      <c r="C1" s="290" t="s">
        <v>681</v>
      </c>
      <c r="D1" s="291"/>
      <c r="E1" s="292" t="s">
        <v>682</v>
      </c>
      <c r="F1" s="291"/>
      <c r="G1" s="292" t="s">
        <v>683</v>
      </c>
      <c r="H1" s="291"/>
      <c r="I1" s="292" t="s">
        <v>684</v>
      </c>
      <c r="J1" s="291"/>
    </row>
    <row r="2" spans="1:10" ht="25.15" customHeight="1" thickBot="1" x14ac:dyDescent="0.3">
      <c r="A2" s="206"/>
      <c r="B2" s="218"/>
      <c r="C2" s="68">
        <v>2022</v>
      </c>
      <c r="D2" s="68">
        <v>2023</v>
      </c>
      <c r="E2" s="68">
        <v>2022</v>
      </c>
      <c r="F2" s="68">
        <v>2023</v>
      </c>
      <c r="G2" s="68">
        <v>2022</v>
      </c>
      <c r="H2" s="68">
        <v>2023</v>
      </c>
      <c r="I2" s="68">
        <v>2022</v>
      </c>
      <c r="J2" s="68">
        <v>2023</v>
      </c>
    </row>
    <row r="3" spans="1:10" ht="15.75" thickBot="1" x14ac:dyDescent="0.3">
      <c r="A3" s="8"/>
      <c r="B3" s="52" t="s">
        <v>113</v>
      </c>
      <c r="C3" s="53">
        <f>SUM(C4:C14)</f>
        <v>0</v>
      </c>
      <c r="D3" s="53">
        <f t="shared" ref="D3:J3" si="0">SUM(D4:D14)</f>
        <v>0</v>
      </c>
      <c r="E3" s="53">
        <f t="shared" si="0"/>
        <v>0</v>
      </c>
      <c r="F3" s="53">
        <f t="shared" si="0"/>
        <v>0</v>
      </c>
      <c r="G3" s="53">
        <f t="shared" si="0"/>
        <v>0</v>
      </c>
      <c r="H3" s="53">
        <f t="shared" si="0"/>
        <v>0</v>
      </c>
      <c r="I3" s="53">
        <f t="shared" si="0"/>
        <v>0</v>
      </c>
      <c r="J3" s="53">
        <f t="shared" si="0"/>
        <v>0</v>
      </c>
    </row>
    <row r="4" spans="1:10" ht="15.75" thickBot="1" x14ac:dyDescent="0.3">
      <c r="A4" s="9">
        <v>1</v>
      </c>
      <c r="B4" s="54" t="s">
        <v>18</v>
      </c>
      <c r="C4" s="54"/>
      <c r="D4" s="54"/>
      <c r="E4" s="54"/>
      <c r="F4" s="54"/>
      <c r="G4" s="54"/>
      <c r="H4" s="54"/>
      <c r="I4" s="54"/>
      <c r="J4" s="54"/>
    </row>
    <row r="5" spans="1:10" ht="15.75" thickBot="1" x14ac:dyDescent="0.3">
      <c r="A5" s="9">
        <v>2</v>
      </c>
      <c r="B5" s="54" t="s">
        <v>19</v>
      </c>
      <c r="C5" s="54"/>
      <c r="D5" s="54"/>
      <c r="E5" s="54"/>
      <c r="F5" s="54"/>
      <c r="G5" s="54"/>
      <c r="H5" s="54"/>
      <c r="I5" s="54"/>
      <c r="J5" s="54"/>
    </row>
    <row r="6" spans="1:10" ht="15.75" thickBot="1" x14ac:dyDescent="0.3">
      <c r="A6" s="9">
        <v>3</v>
      </c>
      <c r="B6" s="54" t="s">
        <v>20</v>
      </c>
      <c r="C6" s="54"/>
      <c r="D6" s="54"/>
      <c r="E6" s="54"/>
      <c r="F6" s="54"/>
      <c r="G6" s="54"/>
      <c r="H6" s="54"/>
      <c r="I6" s="54"/>
      <c r="J6" s="54"/>
    </row>
    <row r="7" spans="1:10" ht="15.75" thickBot="1" x14ac:dyDescent="0.3">
      <c r="A7" s="9">
        <v>4</v>
      </c>
      <c r="B7" s="54" t="s">
        <v>21</v>
      </c>
      <c r="C7" s="54"/>
      <c r="D7" s="54"/>
      <c r="E7" s="54"/>
      <c r="F7" s="54"/>
      <c r="G7" s="54"/>
      <c r="H7" s="54"/>
      <c r="I7" s="54"/>
      <c r="J7" s="54"/>
    </row>
    <row r="8" spans="1:10" ht="15.75" thickBot="1" x14ac:dyDescent="0.3">
      <c r="A8" s="9">
        <v>5</v>
      </c>
      <c r="B8" s="54" t="s">
        <v>22</v>
      </c>
      <c r="C8" s="54"/>
      <c r="D8" s="54"/>
      <c r="E8" s="54"/>
      <c r="F8" s="54"/>
      <c r="G8" s="54"/>
      <c r="H8" s="54"/>
      <c r="I8" s="54"/>
      <c r="J8" s="54"/>
    </row>
    <row r="9" spans="1:10" ht="15.75" thickBot="1" x14ac:dyDescent="0.3">
      <c r="A9" s="9">
        <v>6</v>
      </c>
      <c r="B9" s="54" t="s">
        <v>23</v>
      </c>
      <c r="C9" s="54"/>
      <c r="D9" s="54"/>
      <c r="E9" s="54"/>
      <c r="F9" s="54"/>
      <c r="G9" s="54"/>
      <c r="H9" s="54"/>
      <c r="I9" s="54"/>
      <c r="J9" s="54"/>
    </row>
    <row r="10" spans="1:10" ht="15.75" thickBot="1" x14ac:dyDescent="0.3">
      <c r="A10" s="9">
        <v>7</v>
      </c>
      <c r="B10" s="54" t="s">
        <v>24</v>
      </c>
      <c r="C10" s="54"/>
      <c r="D10" s="54"/>
      <c r="E10" s="54"/>
      <c r="F10" s="54"/>
      <c r="G10" s="54"/>
      <c r="H10" s="54"/>
      <c r="I10" s="54"/>
      <c r="J10" s="54"/>
    </row>
    <row r="11" spans="1:10" ht="15.75" thickBot="1" x14ac:dyDescent="0.3">
      <c r="A11" s="9">
        <v>8</v>
      </c>
      <c r="B11" s="54" t="s">
        <v>25</v>
      </c>
      <c r="C11" s="54"/>
      <c r="D11" s="54"/>
      <c r="E11" s="54"/>
      <c r="F11" s="54"/>
      <c r="G11" s="54"/>
      <c r="H11" s="54"/>
      <c r="I11" s="54"/>
      <c r="J11" s="54"/>
    </row>
    <row r="12" spans="1:10" ht="15.75" thickBot="1" x14ac:dyDescent="0.3">
      <c r="A12" s="9">
        <v>9</v>
      </c>
      <c r="B12" s="54" t="s">
        <v>26</v>
      </c>
      <c r="C12" s="54"/>
      <c r="D12" s="54"/>
      <c r="E12" s="54"/>
      <c r="F12" s="54"/>
      <c r="G12" s="54"/>
      <c r="H12" s="54"/>
      <c r="I12" s="54"/>
      <c r="J12" s="54"/>
    </row>
    <row r="13" spans="1:10" ht="15.75" thickBot="1" x14ac:dyDescent="0.3">
      <c r="A13" s="9">
        <v>10</v>
      </c>
      <c r="B13" s="54" t="s">
        <v>27</v>
      </c>
      <c r="C13" s="54"/>
      <c r="D13" s="54"/>
      <c r="E13" s="54"/>
      <c r="F13" s="54"/>
      <c r="G13" s="54"/>
      <c r="H13" s="54"/>
      <c r="I13" s="54"/>
      <c r="J13" s="54"/>
    </row>
    <row r="14" spans="1:10" ht="15.75" thickBot="1" x14ac:dyDescent="0.3">
      <c r="A14" s="9">
        <v>11</v>
      </c>
      <c r="B14" s="54" t="s">
        <v>28</v>
      </c>
      <c r="C14" s="54"/>
      <c r="D14" s="54"/>
      <c r="E14" s="54"/>
      <c r="F14" s="54"/>
      <c r="G14" s="54"/>
      <c r="H14" s="54"/>
      <c r="I14" s="54"/>
      <c r="J14" s="54"/>
    </row>
    <row r="15" spans="1:10" ht="15.75" thickBot="1" x14ac:dyDescent="0.3">
      <c r="A15" s="10"/>
      <c r="B15" s="52" t="s">
        <v>115</v>
      </c>
      <c r="C15" s="53">
        <f>SUM(C16:C25)</f>
        <v>0</v>
      </c>
      <c r="D15" s="53">
        <f t="shared" ref="D15:J15" si="1">SUM(D16:D25)</f>
        <v>0</v>
      </c>
      <c r="E15" s="53">
        <f t="shared" si="1"/>
        <v>0</v>
      </c>
      <c r="F15" s="53">
        <f t="shared" si="1"/>
        <v>0</v>
      </c>
      <c r="G15" s="53">
        <f t="shared" si="1"/>
        <v>0</v>
      </c>
      <c r="H15" s="53">
        <f t="shared" si="1"/>
        <v>0</v>
      </c>
      <c r="I15" s="53">
        <f t="shared" si="1"/>
        <v>0</v>
      </c>
      <c r="J15" s="53">
        <f t="shared" si="1"/>
        <v>0</v>
      </c>
    </row>
    <row r="16" spans="1:10" ht="15.75" thickBot="1" x14ac:dyDescent="0.3">
      <c r="A16" s="9">
        <v>12</v>
      </c>
      <c r="B16" s="54" t="s">
        <v>29</v>
      </c>
      <c r="C16" s="54"/>
      <c r="D16" s="54"/>
      <c r="E16" s="54"/>
      <c r="F16" s="54"/>
      <c r="G16" s="54"/>
      <c r="H16" s="54"/>
      <c r="I16" s="54"/>
      <c r="J16" s="54"/>
    </row>
    <row r="17" spans="1:10" ht="15.75" thickBot="1" x14ac:dyDescent="0.3">
      <c r="A17" s="9">
        <v>13</v>
      </c>
      <c r="B17" s="54" t="s">
        <v>30</v>
      </c>
      <c r="C17" s="54"/>
      <c r="D17" s="54"/>
      <c r="E17" s="54"/>
      <c r="F17" s="54"/>
      <c r="G17" s="54"/>
      <c r="H17" s="54"/>
      <c r="I17" s="54"/>
      <c r="J17" s="54"/>
    </row>
    <row r="18" spans="1:10" ht="15.75" thickBot="1" x14ac:dyDescent="0.3">
      <c r="A18" s="9">
        <v>14</v>
      </c>
      <c r="B18" s="54" t="s">
        <v>31</v>
      </c>
      <c r="C18" s="54"/>
      <c r="D18" s="54"/>
      <c r="E18" s="54"/>
      <c r="F18" s="54"/>
      <c r="G18" s="54"/>
      <c r="H18" s="54"/>
      <c r="I18" s="54"/>
      <c r="J18" s="54"/>
    </row>
    <row r="19" spans="1:10" ht="15.75" thickBot="1" x14ac:dyDescent="0.3">
      <c r="A19" s="9">
        <v>15</v>
      </c>
      <c r="B19" s="55" t="s">
        <v>32</v>
      </c>
      <c r="C19" s="54"/>
      <c r="D19" s="54"/>
      <c r="E19" s="54"/>
      <c r="F19" s="54"/>
      <c r="G19" s="54"/>
      <c r="H19" s="54"/>
      <c r="I19" s="54"/>
      <c r="J19" s="54"/>
    </row>
    <row r="20" spans="1:10" ht="15.75" thickBot="1" x14ac:dyDescent="0.3">
      <c r="A20" s="9">
        <v>16</v>
      </c>
      <c r="B20" s="54" t="s">
        <v>33</v>
      </c>
      <c r="C20" s="54"/>
      <c r="D20" s="54"/>
      <c r="E20" s="54"/>
      <c r="F20" s="54"/>
      <c r="G20" s="54"/>
      <c r="H20" s="54"/>
      <c r="I20" s="54"/>
      <c r="J20" s="54"/>
    </row>
    <row r="21" spans="1:10" ht="15.75" thickBot="1" x14ac:dyDescent="0.3">
      <c r="A21" s="9">
        <v>17</v>
      </c>
      <c r="B21" s="54" t="s">
        <v>34</v>
      </c>
      <c r="C21" s="54"/>
      <c r="D21" s="54"/>
      <c r="E21" s="54"/>
      <c r="F21" s="54"/>
      <c r="G21" s="54"/>
      <c r="H21" s="54"/>
      <c r="I21" s="54"/>
      <c r="J21" s="54"/>
    </row>
    <row r="22" spans="1:10" ht="15.75" thickBot="1" x14ac:dyDescent="0.3">
      <c r="A22" s="9">
        <v>18</v>
      </c>
      <c r="B22" s="54" t="s">
        <v>35</v>
      </c>
      <c r="C22" s="54"/>
      <c r="D22" s="54"/>
      <c r="E22" s="54"/>
      <c r="F22" s="54"/>
      <c r="G22" s="54"/>
      <c r="H22" s="54"/>
      <c r="I22" s="54"/>
      <c r="J22" s="54"/>
    </row>
    <row r="23" spans="1:10" ht="15.75" thickBot="1" x14ac:dyDescent="0.3">
      <c r="A23" s="9">
        <v>19</v>
      </c>
      <c r="B23" s="54" t="s">
        <v>36</v>
      </c>
      <c r="C23" s="54"/>
      <c r="D23" s="54"/>
      <c r="E23" s="54"/>
      <c r="F23" s="54"/>
      <c r="G23" s="54"/>
      <c r="H23" s="54"/>
      <c r="I23" s="54"/>
      <c r="J23" s="54"/>
    </row>
    <row r="24" spans="1:10" ht="15.75" thickBot="1" x14ac:dyDescent="0.3">
      <c r="A24" s="9">
        <v>20</v>
      </c>
      <c r="B24" s="54" t="s">
        <v>37</v>
      </c>
      <c r="C24" s="54"/>
      <c r="D24" s="54"/>
      <c r="E24" s="54"/>
      <c r="F24" s="54"/>
      <c r="G24" s="54"/>
      <c r="H24" s="54"/>
      <c r="I24" s="54"/>
      <c r="J24" s="54"/>
    </row>
    <row r="25" spans="1:10" ht="15.75" thickBot="1" x14ac:dyDescent="0.3">
      <c r="A25" s="9">
        <v>21</v>
      </c>
      <c r="B25" s="54" t="s">
        <v>38</v>
      </c>
      <c r="C25" s="54"/>
      <c r="D25" s="54"/>
      <c r="E25" s="54"/>
      <c r="F25" s="54"/>
      <c r="G25" s="54"/>
      <c r="H25" s="54"/>
      <c r="I25" s="54"/>
      <c r="J25" s="54"/>
    </row>
    <row r="26" spans="1:10" ht="15.75" thickBot="1" x14ac:dyDescent="0.3">
      <c r="A26" s="10"/>
      <c r="B26" s="52" t="s">
        <v>116</v>
      </c>
      <c r="C26" s="53">
        <f>SUM(C27:C32)</f>
        <v>0</v>
      </c>
      <c r="D26" s="53">
        <f t="shared" ref="D26:J26" si="2">SUM(D27:D32)</f>
        <v>0</v>
      </c>
      <c r="E26" s="53">
        <f t="shared" si="2"/>
        <v>0</v>
      </c>
      <c r="F26" s="53">
        <f t="shared" si="2"/>
        <v>0</v>
      </c>
      <c r="G26" s="53">
        <f t="shared" si="2"/>
        <v>0</v>
      </c>
      <c r="H26" s="53">
        <f t="shared" si="2"/>
        <v>0</v>
      </c>
      <c r="I26" s="53">
        <f t="shared" si="2"/>
        <v>0</v>
      </c>
      <c r="J26" s="53">
        <f t="shared" si="2"/>
        <v>0</v>
      </c>
    </row>
    <row r="27" spans="1:10" ht="15.75" thickBot="1" x14ac:dyDescent="0.3">
      <c r="A27" s="9">
        <v>22</v>
      </c>
      <c r="B27" s="54" t="s">
        <v>39</v>
      </c>
      <c r="C27" s="54"/>
      <c r="D27" s="54"/>
      <c r="E27" s="54"/>
      <c r="F27" s="54"/>
      <c r="G27" s="54"/>
      <c r="H27" s="54"/>
      <c r="I27" s="54"/>
      <c r="J27" s="54"/>
    </row>
    <row r="28" spans="1:10" ht="15.75" thickBot="1" x14ac:dyDescent="0.3">
      <c r="A28" s="9">
        <v>23</v>
      </c>
      <c r="B28" s="54" t="s">
        <v>40</v>
      </c>
      <c r="C28" s="54"/>
      <c r="D28" s="54"/>
      <c r="E28" s="54"/>
      <c r="F28" s="54"/>
      <c r="G28" s="54"/>
      <c r="H28" s="54"/>
      <c r="I28" s="54"/>
      <c r="J28" s="54"/>
    </row>
    <row r="29" spans="1:10" ht="15.75" thickBot="1" x14ac:dyDescent="0.3">
      <c r="A29" s="9">
        <v>24</v>
      </c>
      <c r="B29" s="54" t="s">
        <v>41</v>
      </c>
      <c r="C29" s="54"/>
      <c r="D29" s="54"/>
      <c r="E29" s="54"/>
      <c r="F29" s="54"/>
      <c r="G29" s="54"/>
      <c r="H29" s="54"/>
      <c r="I29" s="54"/>
      <c r="J29" s="54"/>
    </row>
    <row r="30" spans="1:10" ht="15.75" thickBot="1" x14ac:dyDescent="0.3">
      <c r="A30" s="9">
        <v>25</v>
      </c>
      <c r="B30" s="54" t="s">
        <v>42</v>
      </c>
      <c r="C30" s="54"/>
      <c r="D30" s="54"/>
      <c r="E30" s="54"/>
      <c r="F30" s="54"/>
      <c r="G30" s="54"/>
      <c r="H30" s="54"/>
      <c r="I30" s="54"/>
      <c r="J30" s="54"/>
    </row>
    <row r="31" spans="1:10" ht="26.25" thickBot="1" x14ac:dyDescent="0.3">
      <c r="A31" s="9">
        <v>26</v>
      </c>
      <c r="B31" s="54" t="s">
        <v>43</v>
      </c>
      <c r="C31" s="54"/>
      <c r="D31" s="54"/>
      <c r="E31" s="54"/>
      <c r="F31" s="54"/>
      <c r="G31" s="54"/>
      <c r="H31" s="54"/>
      <c r="I31" s="54"/>
      <c r="J31" s="54"/>
    </row>
    <row r="32" spans="1:10" ht="26.25" thickBot="1" x14ac:dyDescent="0.3">
      <c r="A32" s="9">
        <v>27</v>
      </c>
      <c r="B32" s="54" t="s">
        <v>44</v>
      </c>
      <c r="C32" s="54"/>
      <c r="D32" s="54"/>
      <c r="E32" s="54"/>
      <c r="F32" s="54"/>
      <c r="G32" s="54"/>
      <c r="H32" s="54"/>
      <c r="I32" s="54"/>
      <c r="J32" s="54"/>
    </row>
    <row r="33" spans="1:10" ht="15.75" thickBot="1" x14ac:dyDescent="0.3">
      <c r="A33" s="8"/>
      <c r="B33" s="52" t="s">
        <v>117</v>
      </c>
      <c r="C33" s="53">
        <f>SUM(C34:C47)</f>
        <v>0</v>
      </c>
      <c r="D33" s="53">
        <f t="shared" ref="D33:J33" si="3">SUM(D34:D47)</f>
        <v>0</v>
      </c>
      <c r="E33" s="53">
        <f t="shared" si="3"/>
        <v>0</v>
      </c>
      <c r="F33" s="53">
        <f t="shared" si="3"/>
        <v>0</v>
      </c>
      <c r="G33" s="53">
        <f t="shared" si="3"/>
        <v>0</v>
      </c>
      <c r="H33" s="53">
        <f t="shared" si="3"/>
        <v>0</v>
      </c>
      <c r="I33" s="53">
        <f t="shared" si="3"/>
        <v>0</v>
      </c>
      <c r="J33" s="53">
        <f t="shared" si="3"/>
        <v>0</v>
      </c>
    </row>
    <row r="34" spans="1:10" ht="15.75" thickBot="1" x14ac:dyDescent="0.3">
      <c r="A34" s="11">
        <v>28</v>
      </c>
      <c r="B34" s="55" t="s">
        <v>45</v>
      </c>
      <c r="C34" s="54"/>
      <c r="D34" s="54"/>
      <c r="E34" s="54"/>
      <c r="F34" s="54"/>
      <c r="G34" s="54"/>
      <c r="H34" s="54"/>
      <c r="I34" s="54"/>
      <c r="J34" s="54"/>
    </row>
    <row r="35" spans="1:10" ht="15.75" thickBot="1" x14ac:dyDescent="0.3">
      <c r="A35" s="11">
        <v>29</v>
      </c>
      <c r="B35" s="55" t="s">
        <v>46</v>
      </c>
      <c r="C35" s="54"/>
      <c r="D35" s="54"/>
      <c r="E35" s="54"/>
      <c r="F35" s="54"/>
      <c r="G35" s="54"/>
      <c r="H35" s="54"/>
      <c r="I35" s="54"/>
      <c r="J35" s="54"/>
    </row>
    <row r="36" spans="1:10" ht="15.75" thickBot="1" x14ac:dyDescent="0.3">
      <c r="A36" s="11">
        <v>30</v>
      </c>
      <c r="B36" s="55" t="s">
        <v>47</v>
      </c>
      <c r="C36" s="54"/>
      <c r="D36" s="54"/>
      <c r="E36" s="54"/>
      <c r="F36" s="54"/>
      <c r="G36" s="54"/>
      <c r="H36" s="54"/>
      <c r="I36" s="54"/>
      <c r="J36" s="54"/>
    </row>
    <row r="37" spans="1:10" ht="15.75" thickBot="1" x14ac:dyDescent="0.3">
      <c r="A37" s="11">
        <v>31</v>
      </c>
      <c r="B37" s="55" t="s">
        <v>48</v>
      </c>
      <c r="C37" s="54"/>
      <c r="D37" s="54"/>
      <c r="E37" s="54"/>
      <c r="F37" s="54"/>
      <c r="G37" s="54"/>
      <c r="H37" s="54"/>
      <c r="I37" s="54"/>
      <c r="J37" s="54"/>
    </row>
    <row r="38" spans="1:10" ht="15.75" thickBot="1" x14ac:dyDescent="0.3">
      <c r="A38" s="11">
        <v>32</v>
      </c>
      <c r="B38" s="55" t="s">
        <v>49</v>
      </c>
      <c r="C38" s="54"/>
      <c r="D38" s="54"/>
      <c r="E38" s="54"/>
      <c r="F38" s="54"/>
      <c r="G38" s="54"/>
      <c r="H38" s="54"/>
      <c r="I38" s="54"/>
      <c r="J38" s="54"/>
    </row>
    <row r="39" spans="1:10" ht="15.75" thickBot="1" x14ac:dyDescent="0.3">
      <c r="A39" s="11">
        <v>33</v>
      </c>
      <c r="B39" s="55" t="s">
        <v>618</v>
      </c>
      <c r="C39" s="54"/>
      <c r="D39" s="54"/>
      <c r="E39" s="54"/>
      <c r="F39" s="54"/>
      <c r="G39" s="54"/>
      <c r="H39" s="54"/>
      <c r="I39" s="54"/>
      <c r="J39" s="54"/>
    </row>
    <row r="40" spans="1:10" ht="15.75" thickBot="1" x14ac:dyDescent="0.3">
      <c r="A40" s="11">
        <v>34</v>
      </c>
      <c r="B40" s="55" t="s">
        <v>51</v>
      </c>
      <c r="C40" s="54"/>
      <c r="D40" s="54"/>
      <c r="E40" s="54"/>
      <c r="F40" s="54"/>
      <c r="G40" s="54"/>
      <c r="H40" s="54"/>
      <c r="I40" s="54"/>
      <c r="J40" s="54"/>
    </row>
    <row r="41" spans="1:10" ht="15.75" thickBot="1" x14ac:dyDescent="0.3">
      <c r="A41" s="11">
        <v>35</v>
      </c>
      <c r="B41" s="55" t="s">
        <v>52</v>
      </c>
      <c r="C41" s="54"/>
      <c r="D41" s="54"/>
      <c r="E41" s="54"/>
      <c r="F41" s="54"/>
      <c r="G41" s="54"/>
      <c r="H41" s="54"/>
      <c r="I41" s="54"/>
      <c r="J41" s="54"/>
    </row>
    <row r="42" spans="1:10" ht="15.75" thickBot="1" x14ac:dyDescent="0.3">
      <c r="A42" s="11">
        <v>36</v>
      </c>
      <c r="B42" s="55" t="s">
        <v>53</v>
      </c>
      <c r="C42" s="54"/>
      <c r="D42" s="54"/>
      <c r="E42" s="54"/>
      <c r="F42" s="54"/>
      <c r="G42" s="54"/>
      <c r="H42" s="54"/>
      <c r="I42" s="54"/>
      <c r="J42" s="54"/>
    </row>
    <row r="43" spans="1:10" ht="15.75" thickBot="1" x14ac:dyDescent="0.3">
      <c r="A43" s="11">
        <v>37</v>
      </c>
      <c r="B43" s="55" t="s">
        <v>54</v>
      </c>
      <c r="C43" s="54"/>
      <c r="D43" s="54"/>
      <c r="E43" s="54"/>
      <c r="F43" s="54"/>
      <c r="G43" s="54"/>
      <c r="H43" s="54"/>
      <c r="I43" s="54"/>
      <c r="J43" s="54"/>
    </row>
    <row r="44" spans="1:10" ht="15.75" thickBot="1" x14ac:dyDescent="0.3">
      <c r="A44" s="11">
        <v>38</v>
      </c>
      <c r="B44" s="55" t="s">
        <v>55</v>
      </c>
      <c r="C44" s="54"/>
      <c r="D44" s="54"/>
      <c r="E44" s="54"/>
      <c r="F44" s="54"/>
      <c r="G44" s="54"/>
      <c r="H44" s="54"/>
      <c r="I44" s="54"/>
      <c r="J44" s="54"/>
    </row>
    <row r="45" spans="1:10" ht="15.75" thickBot="1" x14ac:dyDescent="0.3">
      <c r="A45" s="11">
        <v>39</v>
      </c>
      <c r="B45" s="55" t="s">
        <v>56</v>
      </c>
      <c r="C45" s="54"/>
      <c r="D45" s="54"/>
      <c r="E45" s="54"/>
      <c r="F45" s="54"/>
      <c r="G45" s="54"/>
      <c r="H45" s="54"/>
      <c r="I45" s="54"/>
      <c r="J45" s="54"/>
    </row>
    <row r="46" spans="1:10" ht="15.75" thickBot="1" x14ac:dyDescent="0.3">
      <c r="A46" s="11">
        <v>40</v>
      </c>
      <c r="B46" s="55" t="s">
        <v>57</v>
      </c>
      <c r="C46" s="54"/>
      <c r="D46" s="54"/>
      <c r="E46" s="54"/>
      <c r="F46" s="54"/>
      <c r="G46" s="54"/>
      <c r="H46" s="54"/>
      <c r="I46" s="54"/>
      <c r="J46" s="54"/>
    </row>
    <row r="47" spans="1:10" ht="15.75" thickBot="1" x14ac:dyDescent="0.3">
      <c r="A47" s="11">
        <v>41</v>
      </c>
      <c r="B47" s="55" t="s">
        <v>58</v>
      </c>
      <c r="C47" s="54"/>
      <c r="D47" s="54"/>
      <c r="E47" s="54"/>
      <c r="F47" s="54"/>
      <c r="G47" s="54"/>
      <c r="H47" s="54"/>
      <c r="I47" s="54"/>
      <c r="J47" s="54"/>
    </row>
    <row r="48" spans="1:10" ht="15.75" thickBot="1" x14ac:dyDescent="0.3">
      <c r="A48" s="8"/>
      <c r="B48" s="52" t="s">
        <v>118</v>
      </c>
      <c r="C48" s="53">
        <f>SUM(C49:C56)</f>
        <v>0</v>
      </c>
      <c r="D48" s="53">
        <f t="shared" ref="D48:J48" si="4">SUM(D49:D56)</f>
        <v>0</v>
      </c>
      <c r="E48" s="53">
        <f t="shared" si="4"/>
        <v>0</v>
      </c>
      <c r="F48" s="53">
        <f t="shared" si="4"/>
        <v>0</v>
      </c>
      <c r="G48" s="53">
        <f t="shared" si="4"/>
        <v>0</v>
      </c>
      <c r="H48" s="53">
        <f t="shared" si="4"/>
        <v>0</v>
      </c>
      <c r="I48" s="53">
        <f t="shared" si="4"/>
        <v>0</v>
      </c>
      <c r="J48" s="53">
        <f t="shared" si="4"/>
        <v>0</v>
      </c>
    </row>
    <row r="49" spans="1:10" ht="15.75" thickBot="1" x14ac:dyDescent="0.3">
      <c r="A49" s="9">
        <v>42</v>
      </c>
      <c r="B49" s="54" t="s">
        <v>59</v>
      </c>
      <c r="C49" s="54"/>
      <c r="D49" s="54"/>
      <c r="E49" s="54"/>
      <c r="F49" s="54"/>
      <c r="G49" s="54"/>
      <c r="H49" s="54"/>
      <c r="I49" s="54"/>
      <c r="J49" s="54"/>
    </row>
    <row r="50" spans="1:10" ht="15.75" thickBot="1" x14ac:dyDescent="0.3">
      <c r="A50" s="9">
        <v>43</v>
      </c>
      <c r="B50" s="54" t="s">
        <v>60</v>
      </c>
      <c r="C50" s="54"/>
      <c r="D50" s="54"/>
      <c r="E50" s="54"/>
      <c r="F50" s="54"/>
      <c r="G50" s="54"/>
      <c r="H50" s="54"/>
      <c r="I50" s="54"/>
      <c r="J50" s="54"/>
    </row>
    <row r="51" spans="1:10" ht="15.75" thickBot="1" x14ac:dyDescent="0.3">
      <c r="A51" s="9">
        <v>44</v>
      </c>
      <c r="B51" s="55" t="s">
        <v>61</v>
      </c>
      <c r="C51" s="54"/>
      <c r="D51" s="54"/>
      <c r="E51" s="54"/>
      <c r="F51" s="54"/>
      <c r="G51" s="54"/>
      <c r="H51" s="54"/>
      <c r="I51" s="54"/>
      <c r="J51" s="54"/>
    </row>
    <row r="52" spans="1:10" ht="15.75" thickBot="1" x14ac:dyDescent="0.3">
      <c r="A52" s="9">
        <v>45</v>
      </c>
      <c r="B52" s="54" t="s">
        <v>62</v>
      </c>
      <c r="C52" s="54"/>
      <c r="D52" s="54"/>
      <c r="E52" s="54"/>
      <c r="F52" s="54"/>
      <c r="G52" s="54"/>
      <c r="H52" s="54"/>
      <c r="I52" s="54"/>
      <c r="J52" s="54"/>
    </row>
    <row r="53" spans="1:10" ht="15.75" thickBot="1" x14ac:dyDescent="0.3">
      <c r="A53" s="9">
        <v>46</v>
      </c>
      <c r="B53" s="54" t="s">
        <v>63</v>
      </c>
      <c r="C53" s="54"/>
      <c r="D53" s="54"/>
      <c r="E53" s="54"/>
      <c r="F53" s="54"/>
      <c r="G53" s="54"/>
      <c r="H53" s="54"/>
      <c r="I53" s="54"/>
      <c r="J53" s="54"/>
    </row>
    <row r="54" spans="1:10" ht="15.75" thickBot="1" x14ac:dyDescent="0.3">
      <c r="A54" s="9">
        <v>47</v>
      </c>
      <c r="B54" s="54" t="s">
        <v>64</v>
      </c>
      <c r="C54" s="54"/>
      <c r="D54" s="54"/>
      <c r="E54" s="54"/>
      <c r="F54" s="54"/>
      <c r="G54" s="54"/>
      <c r="H54" s="54"/>
      <c r="I54" s="54"/>
      <c r="J54" s="54"/>
    </row>
    <row r="55" spans="1:10" ht="15.75" thickBot="1" x14ac:dyDescent="0.3">
      <c r="A55" s="9">
        <v>48</v>
      </c>
      <c r="B55" s="54" t="s">
        <v>65</v>
      </c>
      <c r="C55" s="54"/>
      <c r="D55" s="54"/>
      <c r="E55" s="54"/>
      <c r="F55" s="54"/>
      <c r="G55" s="54"/>
      <c r="H55" s="54"/>
      <c r="I55" s="54"/>
      <c r="J55" s="54"/>
    </row>
    <row r="56" spans="1:10" ht="15.75" thickBot="1" x14ac:dyDescent="0.3">
      <c r="A56" s="9">
        <v>49</v>
      </c>
      <c r="B56" s="55" t="s">
        <v>66</v>
      </c>
      <c r="C56" s="54"/>
      <c r="D56" s="54"/>
      <c r="E56" s="54"/>
      <c r="F56" s="54"/>
      <c r="G56" s="54"/>
      <c r="H56" s="54"/>
      <c r="I56" s="54"/>
      <c r="J56" s="54"/>
    </row>
    <row r="57" spans="1:10" ht="15.75" thickBot="1" x14ac:dyDescent="0.3">
      <c r="A57" s="8"/>
      <c r="B57" s="52" t="s">
        <v>119</v>
      </c>
      <c r="C57" s="53">
        <f t="shared" ref="C57:J57" si="5">SUM(C58:C64)</f>
        <v>0</v>
      </c>
      <c r="D57" s="53">
        <f t="shared" si="5"/>
        <v>0</v>
      </c>
      <c r="E57" s="53">
        <f t="shared" si="5"/>
        <v>0</v>
      </c>
      <c r="F57" s="53">
        <f t="shared" si="5"/>
        <v>0</v>
      </c>
      <c r="G57" s="53">
        <f t="shared" si="5"/>
        <v>0</v>
      </c>
      <c r="H57" s="53">
        <f t="shared" si="5"/>
        <v>0</v>
      </c>
      <c r="I57" s="53">
        <f t="shared" si="5"/>
        <v>0</v>
      </c>
      <c r="J57" s="53">
        <f t="shared" si="5"/>
        <v>0</v>
      </c>
    </row>
    <row r="58" spans="1:10" ht="15.75" thickBot="1" x14ac:dyDescent="0.3">
      <c r="A58" s="11">
        <v>50</v>
      </c>
      <c r="B58" s="55" t="s">
        <v>67</v>
      </c>
      <c r="C58" s="54"/>
      <c r="D58" s="54"/>
      <c r="E58" s="54"/>
      <c r="F58" s="54"/>
      <c r="G58" s="54"/>
      <c r="H58" s="54"/>
      <c r="I58" s="54"/>
      <c r="J58" s="54"/>
    </row>
    <row r="59" spans="1:10" ht="15.75" thickBot="1" x14ac:dyDescent="0.3">
      <c r="A59" s="11">
        <v>51</v>
      </c>
      <c r="B59" s="55" t="s">
        <v>68</v>
      </c>
      <c r="C59" s="54"/>
      <c r="D59" s="54"/>
      <c r="E59" s="54"/>
      <c r="F59" s="54"/>
      <c r="G59" s="54"/>
      <c r="H59" s="54"/>
      <c r="I59" s="54"/>
      <c r="J59" s="54"/>
    </row>
    <row r="60" spans="1:10" ht="26.25" thickBot="1" x14ac:dyDescent="0.3">
      <c r="A60" s="11">
        <v>52</v>
      </c>
      <c r="B60" s="54" t="s">
        <v>69</v>
      </c>
      <c r="C60" s="54"/>
      <c r="D60" s="54"/>
      <c r="E60" s="54"/>
      <c r="F60" s="54"/>
      <c r="G60" s="54"/>
      <c r="H60" s="54"/>
      <c r="I60" s="54"/>
      <c r="J60" s="54"/>
    </row>
    <row r="61" spans="1:10" ht="26.25" thickBot="1" x14ac:dyDescent="0.3">
      <c r="A61" s="11">
        <v>53</v>
      </c>
      <c r="B61" s="54" t="s">
        <v>70</v>
      </c>
      <c r="C61" s="54"/>
      <c r="D61" s="54"/>
      <c r="E61" s="54"/>
      <c r="F61" s="54"/>
      <c r="G61" s="54"/>
      <c r="H61" s="54"/>
      <c r="I61" s="54"/>
      <c r="J61" s="54"/>
    </row>
    <row r="62" spans="1:10" ht="26.25" thickBot="1" x14ac:dyDescent="0.3">
      <c r="A62" s="11">
        <v>54</v>
      </c>
      <c r="B62" s="54" t="s">
        <v>71</v>
      </c>
      <c r="C62" s="54"/>
      <c r="D62" s="54"/>
      <c r="E62" s="54"/>
      <c r="F62" s="54"/>
      <c r="G62" s="54"/>
      <c r="H62" s="54"/>
      <c r="I62" s="54"/>
      <c r="J62" s="54"/>
    </row>
    <row r="63" spans="1:10" ht="15.75" thickBot="1" x14ac:dyDescent="0.3">
      <c r="A63" s="11">
        <v>55</v>
      </c>
      <c r="B63" s="55" t="s">
        <v>72</v>
      </c>
      <c r="C63" s="54"/>
      <c r="D63" s="54"/>
      <c r="E63" s="54"/>
      <c r="F63" s="54"/>
      <c r="G63" s="54"/>
      <c r="H63" s="54"/>
      <c r="I63" s="54"/>
      <c r="J63" s="54"/>
    </row>
    <row r="64" spans="1:10" ht="15.75" thickBot="1" x14ac:dyDescent="0.3">
      <c r="A64" s="11">
        <v>56</v>
      </c>
      <c r="B64" s="55" t="s">
        <v>73</v>
      </c>
      <c r="C64" s="54"/>
      <c r="D64" s="54"/>
      <c r="E64" s="54"/>
      <c r="F64" s="54"/>
      <c r="G64" s="54"/>
      <c r="H64" s="54"/>
      <c r="I64" s="54"/>
      <c r="J64" s="54"/>
    </row>
    <row r="65" spans="1:10" ht="15.75" thickBot="1" x14ac:dyDescent="0.3">
      <c r="A65" s="8"/>
      <c r="B65" s="52" t="s">
        <v>120</v>
      </c>
      <c r="C65" s="53">
        <f>SUM(C66:C76)</f>
        <v>0</v>
      </c>
      <c r="D65" s="53">
        <f t="shared" ref="D65:J65" si="6">SUM(D66:D76)</f>
        <v>0</v>
      </c>
      <c r="E65" s="53">
        <f t="shared" si="6"/>
        <v>0</v>
      </c>
      <c r="F65" s="53">
        <f t="shared" si="6"/>
        <v>0</v>
      </c>
      <c r="G65" s="53">
        <f t="shared" si="6"/>
        <v>0</v>
      </c>
      <c r="H65" s="53">
        <f t="shared" si="6"/>
        <v>0</v>
      </c>
      <c r="I65" s="53">
        <f t="shared" si="6"/>
        <v>0</v>
      </c>
      <c r="J65" s="53">
        <f t="shared" si="6"/>
        <v>0</v>
      </c>
    </row>
    <row r="66" spans="1:10" ht="15.75" thickBot="1" x14ac:dyDescent="0.3">
      <c r="A66" s="11">
        <v>57</v>
      </c>
      <c r="B66" s="55" t="s">
        <v>74</v>
      </c>
      <c r="C66" s="54"/>
      <c r="D66" s="54"/>
      <c r="E66" s="54"/>
      <c r="F66" s="54"/>
      <c r="G66" s="54"/>
      <c r="H66" s="54"/>
      <c r="I66" s="54"/>
      <c r="J66" s="54"/>
    </row>
    <row r="67" spans="1:10" ht="15.75" thickBot="1" x14ac:dyDescent="0.3">
      <c r="A67" s="9">
        <v>58</v>
      </c>
      <c r="B67" s="54" t="s">
        <v>75</v>
      </c>
      <c r="C67" s="54"/>
      <c r="D67" s="54"/>
      <c r="E67" s="54"/>
      <c r="F67" s="54"/>
      <c r="G67" s="54"/>
      <c r="H67" s="54"/>
      <c r="I67" s="54"/>
      <c r="J67" s="54"/>
    </row>
    <row r="68" spans="1:10" ht="15.75" thickBot="1" x14ac:dyDescent="0.3">
      <c r="A68" s="11">
        <v>59</v>
      </c>
      <c r="B68" s="55" t="s">
        <v>76</v>
      </c>
      <c r="C68" s="54"/>
      <c r="D68" s="54"/>
      <c r="E68" s="54"/>
      <c r="F68" s="54"/>
      <c r="G68" s="54"/>
      <c r="H68" s="54"/>
      <c r="I68" s="54"/>
      <c r="J68" s="54"/>
    </row>
    <row r="69" spans="1:10" ht="15.75" thickBot="1" x14ac:dyDescent="0.3">
      <c r="A69" s="9">
        <v>60</v>
      </c>
      <c r="B69" s="55" t="s">
        <v>77</v>
      </c>
      <c r="C69" s="54"/>
      <c r="D69" s="54"/>
      <c r="E69" s="54"/>
      <c r="F69" s="54"/>
      <c r="G69" s="54"/>
      <c r="H69" s="54"/>
      <c r="I69" s="54"/>
      <c r="J69" s="54"/>
    </row>
    <row r="70" spans="1:10" ht="15.75" thickBot="1" x14ac:dyDescent="0.3">
      <c r="A70" s="11">
        <v>61</v>
      </c>
      <c r="B70" s="54" t="s">
        <v>78</v>
      </c>
      <c r="C70" s="54"/>
      <c r="D70" s="54"/>
      <c r="E70" s="54"/>
      <c r="F70" s="54"/>
      <c r="G70" s="54"/>
      <c r="H70" s="54"/>
      <c r="I70" s="54"/>
      <c r="J70" s="54"/>
    </row>
    <row r="71" spans="1:10" ht="15.75" thickBot="1" x14ac:dyDescent="0.3">
      <c r="A71" s="9">
        <v>62</v>
      </c>
      <c r="B71" s="55" t="s">
        <v>79</v>
      </c>
      <c r="C71" s="54"/>
      <c r="D71" s="54"/>
      <c r="E71" s="54"/>
      <c r="F71" s="54"/>
      <c r="G71" s="54"/>
      <c r="H71" s="54"/>
      <c r="I71" s="54"/>
      <c r="J71" s="54"/>
    </row>
    <row r="72" spans="1:10" ht="15.75" thickBot="1" x14ac:dyDescent="0.3">
      <c r="A72" s="11">
        <v>63</v>
      </c>
      <c r="B72" s="55" t="s">
        <v>80</v>
      </c>
      <c r="C72" s="54"/>
      <c r="D72" s="54"/>
      <c r="E72" s="54"/>
      <c r="F72" s="54"/>
      <c r="G72" s="54"/>
      <c r="H72" s="54"/>
      <c r="I72" s="54"/>
      <c r="J72" s="54"/>
    </row>
    <row r="73" spans="1:10" ht="15.75" thickBot="1" x14ac:dyDescent="0.3">
      <c r="A73" s="9">
        <v>64</v>
      </c>
      <c r="B73" s="55" t="s">
        <v>81</v>
      </c>
      <c r="C73" s="54"/>
      <c r="D73" s="54"/>
      <c r="E73" s="54"/>
      <c r="F73" s="54"/>
      <c r="G73" s="54"/>
      <c r="H73" s="54"/>
      <c r="I73" s="54"/>
      <c r="J73" s="54"/>
    </row>
    <row r="74" spans="1:10" ht="15.75" thickBot="1" x14ac:dyDescent="0.3">
      <c r="A74" s="11">
        <v>65</v>
      </c>
      <c r="B74" s="54" t="s">
        <v>82</v>
      </c>
      <c r="C74" s="54"/>
      <c r="D74" s="54"/>
      <c r="E74" s="54"/>
      <c r="F74" s="54"/>
      <c r="G74" s="54"/>
      <c r="H74" s="54"/>
      <c r="I74" s="54"/>
      <c r="J74" s="54"/>
    </row>
    <row r="75" spans="1:10" ht="15.75" thickBot="1" x14ac:dyDescent="0.3">
      <c r="A75" s="9">
        <v>66</v>
      </c>
      <c r="B75" s="54" t="s">
        <v>83</v>
      </c>
      <c r="C75" s="54"/>
      <c r="D75" s="54"/>
      <c r="E75" s="54"/>
      <c r="F75" s="54"/>
      <c r="G75" s="54"/>
      <c r="H75" s="54"/>
      <c r="I75" s="54"/>
      <c r="J75" s="54"/>
    </row>
    <row r="76" spans="1:10" ht="15.75" thickBot="1" x14ac:dyDescent="0.3">
      <c r="A76" s="11">
        <v>67</v>
      </c>
      <c r="B76" s="54" t="s">
        <v>84</v>
      </c>
      <c r="C76" s="54"/>
      <c r="D76" s="54"/>
      <c r="E76" s="54"/>
      <c r="F76" s="54"/>
      <c r="G76" s="54"/>
      <c r="H76" s="54"/>
      <c r="I76" s="54"/>
      <c r="J76" s="54"/>
    </row>
    <row r="77" spans="1:10" ht="15.75" thickBot="1" x14ac:dyDescent="0.3">
      <c r="A77" s="10"/>
      <c r="B77" s="52" t="s">
        <v>121</v>
      </c>
      <c r="C77" s="53">
        <f>SUM(C78:C95)</f>
        <v>0</v>
      </c>
      <c r="D77" s="53">
        <f t="shared" ref="D77:J77" si="7">SUM(D78:D95)</f>
        <v>0</v>
      </c>
      <c r="E77" s="53">
        <f t="shared" si="7"/>
        <v>0</v>
      </c>
      <c r="F77" s="53">
        <f t="shared" si="7"/>
        <v>0</v>
      </c>
      <c r="G77" s="53">
        <f t="shared" si="7"/>
        <v>0</v>
      </c>
      <c r="H77" s="53">
        <f t="shared" si="7"/>
        <v>0</v>
      </c>
      <c r="I77" s="53">
        <f t="shared" si="7"/>
        <v>0</v>
      </c>
      <c r="J77" s="53">
        <f t="shared" si="7"/>
        <v>0</v>
      </c>
    </row>
    <row r="78" spans="1:10" ht="15.75" thickBot="1" x14ac:dyDescent="0.3">
      <c r="A78" s="9">
        <v>68</v>
      </c>
      <c r="B78" s="54" t="s">
        <v>85</v>
      </c>
      <c r="C78" s="54"/>
      <c r="D78" s="54"/>
      <c r="E78" s="54"/>
      <c r="F78" s="54"/>
      <c r="G78" s="54"/>
      <c r="H78" s="54"/>
      <c r="I78" s="54"/>
      <c r="J78" s="54"/>
    </row>
    <row r="79" spans="1:10" ht="15.75" thickBot="1" x14ac:dyDescent="0.3">
      <c r="A79" s="9">
        <v>69</v>
      </c>
      <c r="B79" s="54" t="s">
        <v>86</v>
      </c>
      <c r="C79" s="54"/>
      <c r="D79" s="54"/>
      <c r="E79" s="54"/>
      <c r="F79" s="54"/>
      <c r="G79" s="54"/>
      <c r="H79" s="54"/>
      <c r="I79" s="54"/>
      <c r="J79" s="54"/>
    </row>
    <row r="80" spans="1:10" ht="15.75" thickBot="1" x14ac:dyDescent="0.3">
      <c r="A80" s="9">
        <v>70</v>
      </c>
      <c r="B80" s="54" t="s">
        <v>87</v>
      </c>
      <c r="C80" s="54"/>
      <c r="D80" s="54"/>
      <c r="E80" s="54"/>
      <c r="F80" s="54"/>
      <c r="G80" s="54"/>
      <c r="H80" s="54"/>
      <c r="I80" s="54"/>
      <c r="J80" s="54"/>
    </row>
    <row r="81" spans="1:10" ht="15.75" thickBot="1" x14ac:dyDescent="0.3">
      <c r="A81" s="9">
        <v>71</v>
      </c>
      <c r="B81" s="54" t="s">
        <v>88</v>
      </c>
      <c r="C81" s="54"/>
      <c r="D81" s="54"/>
      <c r="E81" s="54"/>
      <c r="F81" s="54"/>
      <c r="G81" s="54"/>
      <c r="H81" s="54"/>
      <c r="I81" s="54"/>
      <c r="J81" s="54"/>
    </row>
    <row r="82" spans="1:10" ht="15.75" thickBot="1" x14ac:dyDescent="0.3">
      <c r="A82" s="9">
        <v>72</v>
      </c>
      <c r="B82" s="54" t="s">
        <v>89</v>
      </c>
      <c r="C82" s="54"/>
      <c r="D82" s="54"/>
      <c r="E82" s="54"/>
      <c r="F82" s="54"/>
      <c r="G82" s="54"/>
      <c r="H82" s="54"/>
      <c r="I82" s="54"/>
      <c r="J82" s="54"/>
    </row>
    <row r="83" spans="1:10" ht="15.75" thickBot="1" x14ac:dyDescent="0.3">
      <c r="A83" s="9">
        <v>73</v>
      </c>
      <c r="B83" s="54" t="s">
        <v>90</v>
      </c>
      <c r="C83" s="54"/>
      <c r="D83" s="54"/>
      <c r="E83" s="54"/>
      <c r="F83" s="54"/>
      <c r="G83" s="54"/>
      <c r="H83" s="54"/>
      <c r="I83" s="54"/>
      <c r="J83" s="54"/>
    </row>
    <row r="84" spans="1:10" ht="15.75" thickBot="1" x14ac:dyDescent="0.3">
      <c r="A84" s="9">
        <v>74</v>
      </c>
      <c r="B84" s="54" t="s">
        <v>91</v>
      </c>
      <c r="C84" s="54"/>
      <c r="D84" s="54"/>
      <c r="E84" s="54"/>
      <c r="F84" s="54"/>
      <c r="G84" s="54"/>
      <c r="H84" s="54"/>
      <c r="I84" s="54"/>
      <c r="J84" s="54"/>
    </row>
    <row r="85" spans="1:10" ht="15.75" thickBot="1" x14ac:dyDescent="0.3">
      <c r="A85" s="9">
        <v>75</v>
      </c>
      <c r="B85" s="55" t="s">
        <v>92</v>
      </c>
      <c r="C85" s="54"/>
      <c r="D85" s="54"/>
      <c r="E85" s="54"/>
      <c r="F85" s="54"/>
      <c r="G85" s="54"/>
      <c r="H85" s="54"/>
      <c r="I85" s="54"/>
      <c r="J85" s="54"/>
    </row>
    <row r="86" spans="1:10" ht="15.75" thickBot="1" x14ac:dyDescent="0.3">
      <c r="A86" s="9">
        <v>76</v>
      </c>
      <c r="B86" s="54" t="s">
        <v>93</v>
      </c>
      <c r="C86" s="54"/>
      <c r="D86" s="54"/>
      <c r="E86" s="54"/>
      <c r="F86" s="54"/>
      <c r="G86" s="54"/>
      <c r="H86" s="54"/>
      <c r="I86" s="54"/>
      <c r="J86" s="54"/>
    </row>
    <row r="87" spans="1:10" ht="15.75" thickBot="1" x14ac:dyDescent="0.3">
      <c r="A87" s="9">
        <v>77</v>
      </c>
      <c r="B87" s="54" t="s">
        <v>94</v>
      </c>
      <c r="C87" s="54"/>
      <c r="D87" s="54"/>
      <c r="E87" s="54"/>
      <c r="F87" s="54"/>
      <c r="G87" s="54"/>
      <c r="H87" s="54"/>
      <c r="I87" s="54"/>
      <c r="J87" s="54"/>
    </row>
    <row r="88" spans="1:10" ht="15.75" thickBot="1" x14ac:dyDescent="0.3">
      <c r="A88" s="9">
        <v>78</v>
      </c>
      <c r="B88" s="54" t="s">
        <v>95</v>
      </c>
      <c r="C88" s="54"/>
      <c r="D88" s="54"/>
      <c r="E88" s="54"/>
      <c r="F88" s="54"/>
      <c r="G88" s="54"/>
      <c r="H88" s="54"/>
      <c r="I88" s="54"/>
      <c r="J88" s="54"/>
    </row>
    <row r="89" spans="1:10" ht="15.75" thickBot="1" x14ac:dyDescent="0.3">
      <c r="A89" s="9">
        <v>79</v>
      </c>
      <c r="B89" s="54" t="s">
        <v>96</v>
      </c>
      <c r="C89" s="54"/>
      <c r="D89" s="54"/>
      <c r="E89" s="54"/>
      <c r="F89" s="54"/>
      <c r="G89" s="54"/>
      <c r="H89" s="54"/>
      <c r="I89" s="54"/>
      <c r="J89" s="54"/>
    </row>
    <row r="90" spans="1:10" ht="15.75" thickBot="1" x14ac:dyDescent="0.3">
      <c r="A90" s="9">
        <v>80</v>
      </c>
      <c r="B90" s="54" t="s">
        <v>97</v>
      </c>
      <c r="C90" s="54"/>
      <c r="D90" s="54"/>
      <c r="E90" s="54"/>
      <c r="F90" s="54"/>
      <c r="G90" s="54"/>
      <c r="H90" s="54"/>
      <c r="I90" s="54"/>
      <c r="J90" s="54"/>
    </row>
    <row r="91" spans="1:10" ht="15.75" thickBot="1" x14ac:dyDescent="0.3">
      <c r="A91" s="9">
        <v>81</v>
      </c>
      <c r="B91" s="54" t="s">
        <v>98</v>
      </c>
      <c r="C91" s="54"/>
      <c r="D91" s="54"/>
      <c r="E91" s="54"/>
      <c r="F91" s="54"/>
      <c r="G91" s="54"/>
      <c r="H91" s="54"/>
      <c r="I91" s="54"/>
      <c r="J91" s="54"/>
    </row>
    <row r="92" spans="1:10" ht="15.75" thickBot="1" x14ac:dyDescent="0.3">
      <c r="A92" s="9">
        <v>82</v>
      </c>
      <c r="B92" s="54" t="s">
        <v>99</v>
      </c>
      <c r="C92" s="54"/>
      <c r="D92" s="54"/>
      <c r="E92" s="54"/>
      <c r="F92" s="54"/>
      <c r="G92" s="54"/>
      <c r="H92" s="54"/>
      <c r="I92" s="54"/>
      <c r="J92" s="54"/>
    </row>
    <row r="93" spans="1:10" ht="15.75" thickBot="1" x14ac:dyDescent="0.3">
      <c r="A93" s="9">
        <v>83</v>
      </c>
      <c r="B93" s="54" t="s">
        <v>100</v>
      </c>
      <c r="C93" s="54"/>
      <c r="D93" s="54"/>
      <c r="E93" s="54"/>
      <c r="F93" s="54"/>
      <c r="G93" s="54"/>
      <c r="H93" s="54"/>
      <c r="I93" s="54"/>
      <c r="J93" s="54"/>
    </row>
    <row r="94" spans="1:10" ht="15.75" thickBot="1" x14ac:dyDescent="0.3">
      <c r="A94" s="9">
        <v>84</v>
      </c>
      <c r="B94" s="54" t="s">
        <v>101</v>
      </c>
      <c r="C94" s="54"/>
      <c r="D94" s="54"/>
      <c r="E94" s="54"/>
      <c r="F94" s="54"/>
      <c r="G94" s="54"/>
      <c r="H94" s="54"/>
      <c r="I94" s="54"/>
      <c r="J94" s="54"/>
    </row>
    <row r="95" spans="1:10" ht="15.75" thickBot="1" x14ac:dyDescent="0.3">
      <c r="A95" s="9">
        <v>85</v>
      </c>
      <c r="B95" s="55" t="s">
        <v>102</v>
      </c>
      <c r="C95" s="54"/>
      <c r="D95" s="54"/>
      <c r="E95" s="54"/>
      <c r="F95" s="54"/>
      <c r="G95" s="54"/>
      <c r="H95" s="54"/>
      <c r="I95" s="54"/>
      <c r="J95" s="54"/>
    </row>
    <row r="96" spans="1:10" s="14" customFormat="1" ht="13.5" thickBot="1" x14ac:dyDescent="0.25">
      <c r="A96" s="183"/>
      <c r="B96" s="187"/>
      <c r="C96" s="184">
        <f>SUM(C97:C114)</f>
        <v>0</v>
      </c>
      <c r="D96" s="185">
        <f t="shared" ref="D96:J96" si="8">SUM(D97:D114)</f>
        <v>0</v>
      </c>
      <c r="E96" s="185">
        <f t="shared" si="8"/>
        <v>0</v>
      </c>
      <c r="F96" s="185">
        <f t="shared" si="8"/>
        <v>0</v>
      </c>
      <c r="G96" s="185">
        <f t="shared" si="8"/>
        <v>0</v>
      </c>
      <c r="H96" s="185">
        <f t="shared" si="8"/>
        <v>0</v>
      </c>
      <c r="I96" s="185">
        <f t="shared" si="8"/>
        <v>0</v>
      </c>
      <c r="J96" s="185">
        <f t="shared" si="8"/>
        <v>0</v>
      </c>
    </row>
    <row r="97" spans="1:10" ht="15.75" thickBot="1" x14ac:dyDescent="0.3">
      <c r="A97" s="9">
        <v>86</v>
      </c>
      <c r="B97" s="11" t="s">
        <v>608</v>
      </c>
      <c r="C97" s="54"/>
      <c r="D97" s="54"/>
      <c r="E97" s="54"/>
      <c r="F97" s="54"/>
      <c r="G97" s="54"/>
      <c r="H97" s="54"/>
      <c r="I97" s="54"/>
      <c r="J97" s="54"/>
    </row>
    <row r="98" spans="1:10" ht="15.75" thickBot="1" x14ac:dyDescent="0.3">
      <c r="A98" s="9">
        <v>87</v>
      </c>
      <c r="B98" s="11" t="s">
        <v>609</v>
      </c>
      <c r="C98" s="54"/>
      <c r="D98" s="54"/>
      <c r="E98" s="54"/>
      <c r="F98" s="54"/>
      <c r="G98" s="54"/>
      <c r="H98" s="54"/>
      <c r="I98" s="54"/>
      <c r="J98" s="54"/>
    </row>
    <row r="99" spans="1:10" ht="15.75" thickBot="1" x14ac:dyDescent="0.3">
      <c r="A99" s="9">
        <v>88</v>
      </c>
      <c r="B99" s="11" t="s">
        <v>610</v>
      </c>
      <c r="C99" s="54"/>
      <c r="D99" s="54"/>
      <c r="E99" s="54"/>
      <c r="F99" s="54"/>
      <c r="G99" s="54"/>
      <c r="H99" s="54"/>
      <c r="I99" s="54"/>
      <c r="J99" s="54"/>
    </row>
    <row r="100" spans="1:10" ht="15.75" thickBot="1" x14ac:dyDescent="0.3">
      <c r="A100" s="9">
        <v>89</v>
      </c>
      <c r="B100" s="11" t="s">
        <v>611</v>
      </c>
      <c r="C100" s="54"/>
      <c r="D100" s="54"/>
      <c r="E100" s="54"/>
      <c r="F100" s="54"/>
      <c r="G100" s="54"/>
      <c r="H100" s="54"/>
      <c r="I100" s="54"/>
      <c r="J100" s="54"/>
    </row>
    <row r="101" spans="1:10" ht="26.25" thickBot="1" x14ac:dyDescent="0.3">
      <c r="A101" s="183"/>
      <c r="B101" s="56" t="s">
        <v>247</v>
      </c>
      <c r="C101" s="57">
        <f>SUM(C3,C15,C26,C33,C48,C57,C65,C77,)</f>
        <v>0</v>
      </c>
      <c r="D101" s="57">
        <f t="shared" ref="D101:J101" si="9">SUM(D3,D15,D26,D33,D48,D57,D65,D77,)</f>
        <v>0</v>
      </c>
      <c r="E101" s="57">
        <f t="shared" si="9"/>
        <v>0</v>
      </c>
      <c r="F101" s="57">
        <f t="shared" si="9"/>
        <v>0</v>
      </c>
      <c r="G101" s="57">
        <f t="shared" si="9"/>
        <v>0</v>
      </c>
      <c r="H101" s="57">
        <f t="shared" si="9"/>
        <v>0</v>
      </c>
      <c r="I101" s="57">
        <f t="shared" si="9"/>
        <v>0</v>
      </c>
      <c r="J101" s="57">
        <f t="shared" si="9"/>
        <v>0</v>
      </c>
    </row>
    <row r="104" spans="1:10" x14ac:dyDescent="0.25">
      <c r="A104"/>
    </row>
    <row r="106" spans="1:10" x14ac:dyDescent="0.25">
      <c r="A106" s="3"/>
    </row>
    <row r="107" spans="1:10" x14ac:dyDescent="0.25">
      <c r="A107" s="3"/>
    </row>
  </sheetData>
  <mergeCells count="6">
    <mergeCell ref="I1:J1"/>
    <mergeCell ref="A1:A2"/>
    <mergeCell ref="B1:B2"/>
    <mergeCell ref="C1:D1"/>
    <mergeCell ref="E1:F1"/>
    <mergeCell ref="G1:H1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11"/>
  <sheetViews>
    <sheetView topLeftCell="B1" workbookViewId="0">
      <selection activeCell="C101" sqref="C101"/>
    </sheetView>
  </sheetViews>
  <sheetFormatPr defaultRowHeight="15" x14ac:dyDescent="0.25"/>
  <cols>
    <col min="2" max="2" width="8.140625" style="14" customWidth="1"/>
    <col min="3" max="3" width="26.140625" customWidth="1"/>
    <col min="4" max="11" width="12" customWidth="1"/>
  </cols>
  <sheetData>
    <row r="1" spans="2:11" ht="64.150000000000006" customHeight="1" thickBot="1" x14ac:dyDescent="0.3">
      <c r="B1" s="205" t="s">
        <v>607</v>
      </c>
      <c r="C1" s="218" t="s">
        <v>103</v>
      </c>
      <c r="D1" s="214" t="s">
        <v>299</v>
      </c>
      <c r="E1" s="215"/>
      <c r="F1" s="214" t="s">
        <v>300</v>
      </c>
      <c r="G1" s="215"/>
      <c r="H1" s="214" t="s">
        <v>301</v>
      </c>
      <c r="I1" s="215"/>
      <c r="J1" s="214" t="s">
        <v>302</v>
      </c>
      <c r="K1" s="215"/>
    </row>
    <row r="2" spans="2:11" ht="20.45" customHeight="1" thickBot="1" x14ac:dyDescent="0.3">
      <c r="B2" s="206"/>
      <c r="C2" s="218"/>
      <c r="D2" s="68">
        <v>2022</v>
      </c>
      <c r="E2" s="68">
        <v>2023</v>
      </c>
      <c r="F2" s="68">
        <v>2022</v>
      </c>
      <c r="G2" s="68">
        <v>2023</v>
      </c>
      <c r="H2" s="68">
        <v>2022</v>
      </c>
      <c r="I2" s="68">
        <v>2023</v>
      </c>
      <c r="J2" s="68">
        <v>2022</v>
      </c>
      <c r="K2" s="68">
        <v>2023</v>
      </c>
    </row>
    <row r="3" spans="2:11" ht="18" customHeight="1" thickBot="1" x14ac:dyDescent="0.3">
      <c r="B3" s="8"/>
      <c r="C3" s="52" t="s">
        <v>113</v>
      </c>
      <c r="D3" s="53">
        <f>SUM(D4:D14)</f>
        <v>0</v>
      </c>
      <c r="E3" s="53">
        <f t="shared" ref="E3:K3" si="0">SUM(E4:E14)</f>
        <v>0</v>
      </c>
      <c r="F3" s="53">
        <f t="shared" si="0"/>
        <v>0</v>
      </c>
      <c r="G3" s="53">
        <f t="shared" si="0"/>
        <v>0</v>
      </c>
      <c r="H3" s="53">
        <f t="shared" si="0"/>
        <v>0</v>
      </c>
      <c r="I3" s="53">
        <f t="shared" si="0"/>
        <v>0</v>
      </c>
      <c r="J3" s="53">
        <f t="shared" si="0"/>
        <v>0</v>
      </c>
      <c r="K3" s="53">
        <f t="shared" si="0"/>
        <v>0</v>
      </c>
    </row>
    <row r="4" spans="2:11" ht="20.45" customHeight="1" thickBot="1" x14ac:dyDescent="0.3">
      <c r="B4" s="9">
        <v>1</v>
      </c>
      <c r="C4" s="54" t="s">
        <v>18</v>
      </c>
      <c r="D4" s="54"/>
      <c r="E4" s="54"/>
      <c r="F4" s="54"/>
      <c r="G4" s="54"/>
      <c r="H4" s="54"/>
      <c r="I4" s="54"/>
      <c r="J4" s="54"/>
      <c r="K4" s="54"/>
    </row>
    <row r="5" spans="2:11" ht="20.45" customHeight="1" thickBot="1" x14ac:dyDescent="0.3">
      <c r="B5" s="9">
        <v>2</v>
      </c>
      <c r="C5" s="54" t="s">
        <v>19</v>
      </c>
      <c r="D5" s="54"/>
      <c r="E5" s="54"/>
      <c r="F5" s="54"/>
      <c r="G5" s="54"/>
      <c r="H5" s="54"/>
      <c r="I5" s="54"/>
      <c r="J5" s="54"/>
      <c r="K5" s="54"/>
    </row>
    <row r="6" spans="2:11" ht="20.45" customHeight="1" thickBot="1" x14ac:dyDescent="0.3">
      <c r="B6" s="9">
        <v>3</v>
      </c>
      <c r="C6" s="54" t="s">
        <v>20</v>
      </c>
      <c r="D6" s="54"/>
      <c r="E6" s="54"/>
      <c r="F6" s="54"/>
      <c r="G6" s="54"/>
      <c r="H6" s="54"/>
      <c r="I6" s="54"/>
      <c r="J6" s="54"/>
      <c r="K6" s="54"/>
    </row>
    <row r="7" spans="2:11" ht="20.45" customHeight="1" thickBot="1" x14ac:dyDescent="0.3">
      <c r="B7" s="9">
        <v>4</v>
      </c>
      <c r="C7" s="54" t="s">
        <v>21</v>
      </c>
      <c r="D7" s="54"/>
      <c r="E7" s="54"/>
      <c r="F7" s="54"/>
      <c r="G7" s="54"/>
      <c r="H7" s="54"/>
      <c r="I7" s="54"/>
      <c r="J7" s="54"/>
      <c r="K7" s="54"/>
    </row>
    <row r="8" spans="2:11" ht="20.45" customHeight="1" thickBot="1" x14ac:dyDescent="0.3">
      <c r="B8" s="9">
        <v>5</v>
      </c>
      <c r="C8" s="54" t="s">
        <v>22</v>
      </c>
      <c r="D8" s="54"/>
      <c r="E8" s="54"/>
      <c r="F8" s="54"/>
      <c r="G8" s="54"/>
      <c r="H8" s="54"/>
      <c r="I8" s="54"/>
      <c r="J8" s="54"/>
      <c r="K8" s="54"/>
    </row>
    <row r="9" spans="2:11" ht="20.45" customHeight="1" thickBot="1" x14ac:dyDescent="0.3">
      <c r="B9" s="9">
        <v>6</v>
      </c>
      <c r="C9" s="54" t="s">
        <v>23</v>
      </c>
      <c r="D9" s="54"/>
      <c r="E9" s="54"/>
      <c r="F9" s="54"/>
      <c r="G9" s="54"/>
      <c r="H9" s="54"/>
      <c r="I9" s="54"/>
      <c r="J9" s="54"/>
      <c r="K9" s="54"/>
    </row>
    <row r="10" spans="2:11" ht="20.45" customHeight="1" thickBot="1" x14ac:dyDescent="0.3">
      <c r="B10" s="9">
        <v>7</v>
      </c>
      <c r="C10" s="54" t="s">
        <v>24</v>
      </c>
      <c r="D10" s="54"/>
      <c r="E10" s="54"/>
      <c r="F10" s="54"/>
      <c r="G10" s="54"/>
      <c r="H10" s="54"/>
      <c r="I10" s="54"/>
      <c r="J10" s="54"/>
      <c r="K10" s="54"/>
    </row>
    <row r="11" spans="2:11" ht="20.45" customHeight="1" thickBot="1" x14ac:dyDescent="0.3">
      <c r="B11" s="9">
        <v>8</v>
      </c>
      <c r="C11" s="54" t="s">
        <v>25</v>
      </c>
      <c r="D11" s="54"/>
      <c r="E11" s="54"/>
      <c r="F11" s="54"/>
      <c r="G11" s="54"/>
      <c r="H11" s="54"/>
      <c r="I11" s="54"/>
      <c r="J11" s="54"/>
      <c r="K11" s="54"/>
    </row>
    <row r="12" spans="2:11" ht="20.45" customHeight="1" thickBot="1" x14ac:dyDescent="0.3">
      <c r="B12" s="9">
        <v>9</v>
      </c>
      <c r="C12" s="54" t="s">
        <v>26</v>
      </c>
      <c r="D12" s="54"/>
      <c r="E12" s="54"/>
      <c r="F12" s="54"/>
      <c r="G12" s="54"/>
      <c r="H12" s="54"/>
      <c r="I12" s="54"/>
      <c r="J12" s="54"/>
      <c r="K12" s="54"/>
    </row>
    <row r="13" spans="2:11" ht="20.45" customHeight="1" thickBot="1" x14ac:dyDescent="0.3">
      <c r="B13" s="9">
        <v>10</v>
      </c>
      <c r="C13" s="54" t="s">
        <v>27</v>
      </c>
      <c r="D13" s="54"/>
      <c r="E13" s="54"/>
      <c r="F13" s="54"/>
      <c r="G13" s="54"/>
      <c r="H13" s="54"/>
      <c r="I13" s="54"/>
      <c r="J13" s="54"/>
      <c r="K13" s="54"/>
    </row>
    <row r="14" spans="2:11" ht="20.45" customHeight="1" thickBot="1" x14ac:dyDescent="0.3">
      <c r="B14" s="9">
        <v>11</v>
      </c>
      <c r="C14" s="54" t="s">
        <v>28</v>
      </c>
      <c r="D14" s="54"/>
      <c r="E14" s="54"/>
      <c r="F14" s="54"/>
      <c r="G14" s="54"/>
      <c r="H14" s="54"/>
      <c r="I14" s="54"/>
      <c r="J14" s="54"/>
      <c r="K14" s="54"/>
    </row>
    <row r="15" spans="2:11" ht="20.45" customHeight="1" thickBot="1" x14ac:dyDescent="0.3">
      <c r="B15" s="10"/>
      <c r="C15" s="52" t="s">
        <v>115</v>
      </c>
      <c r="D15" s="53">
        <f>SUM(D16:D25)</f>
        <v>0</v>
      </c>
      <c r="E15" s="53">
        <f t="shared" ref="E15:K15" si="1">SUM(E16:E25)</f>
        <v>0</v>
      </c>
      <c r="F15" s="53">
        <f t="shared" si="1"/>
        <v>0</v>
      </c>
      <c r="G15" s="53">
        <f t="shared" si="1"/>
        <v>0</v>
      </c>
      <c r="H15" s="53">
        <f t="shared" si="1"/>
        <v>0</v>
      </c>
      <c r="I15" s="53">
        <f t="shared" si="1"/>
        <v>0</v>
      </c>
      <c r="J15" s="53">
        <f t="shared" si="1"/>
        <v>0</v>
      </c>
      <c r="K15" s="53">
        <f t="shared" si="1"/>
        <v>0</v>
      </c>
    </row>
    <row r="16" spans="2:11" ht="20.45" customHeight="1" thickBot="1" x14ac:dyDescent="0.3">
      <c r="B16" s="9">
        <v>12</v>
      </c>
      <c r="C16" s="54" t="s">
        <v>29</v>
      </c>
      <c r="D16" s="54"/>
      <c r="E16" s="54"/>
      <c r="F16" s="54"/>
      <c r="G16" s="54"/>
      <c r="H16" s="54"/>
      <c r="I16" s="54"/>
      <c r="J16" s="54"/>
      <c r="K16" s="54"/>
    </row>
    <row r="17" spans="2:11" ht="20.45" customHeight="1" thickBot="1" x14ac:dyDescent="0.3">
      <c r="B17" s="9">
        <v>13</v>
      </c>
      <c r="C17" s="54" t="s">
        <v>30</v>
      </c>
      <c r="D17" s="54"/>
      <c r="E17" s="54"/>
      <c r="F17" s="54"/>
      <c r="G17" s="54"/>
      <c r="H17" s="54"/>
      <c r="I17" s="54"/>
      <c r="J17" s="54"/>
      <c r="K17" s="54"/>
    </row>
    <row r="18" spans="2:11" ht="20.45" customHeight="1" thickBot="1" x14ac:dyDescent="0.3">
      <c r="B18" s="9">
        <v>14</v>
      </c>
      <c r="C18" s="54" t="s">
        <v>31</v>
      </c>
      <c r="D18" s="54"/>
      <c r="E18" s="54"/>
      <c r="F18" s="54"/>
      <c r="G18" s="54"/>
      <c r="H18" s="54"/>
      <c r="I18" s="54"/>
      <c r="J18" s="54"/>
      <c r="K18" s="54"/>
    </row>
    <row r="19" spans="2:11" ht="20.45" customHeight="1" thickBot="1" x14ac:dyDescent="0.3">
      <c r="B19" s="9">
        <v>15</v>
      </c>
      <c r="C19" s="55" t="s">
        <v>32</v>
      </c>
      <c r="D19" s="54"/>
      <c r="E19" s="54"/>
      <c r="F19" s="54"/>
      <c r="G19" s="54"/>
      <c r="H19" s="54"/>
      <c r="I19" s="54"/>
      <c r="J19" s="54"/>
      <c r="K19" s="54"/>
    </row>
    <row r="20" spans="2:11" ht="20.45" customHeight="1" thickBot="1" x14ac:dyDescent="0.3">
      <c r="B20" s="9">
        <v>16</v>
      </c>
      <c r="C20" s="54" t="s">
        <v>33</v>
      </c>
      <c r="D20" s="54"/>
      <c r="E20" s="54"/>
      <c r="F20" s="54"/>
      <c r="G20" s="54"/>
      <c r="H20" s="54"/>
      <c r="I20" s="54"/>
      <c r="J20" s="54"/>
      <c r="K20" s="54"/>
    </row>
    <row r="21" spans="2:11" ht="20.45" customHeight="1" thickBot="1" x14ac:dyDescent="0.3">
      <c r="B21" s="9">
        <v>17</v>
      </c>
      <c r="C21" s="54" t="s">
        <v>34</v>
      </c>
      <c r="D21" s="54"/>
      <c r="E21" s="54"/>
      <c r="F21" s="54"/>
      <c r="G21" s="54"/>
      <c r="H21" s="54"/>
      <c r="I21" s="54"/>
      <c r="J21" s="54"/>
      <c r="K21" s="54"/>
    </row>
    <row r="22" spans="2:11" ht="20.45" customHeight="1" thickBot="1" x14ac:dyDescent="0.3">
      <c r="B22" s="9">
        <v>18</v>
      </c>
      <c r="C22" s="54" t="s">
        <v>35</v>
      </c>
      <c r="D22" s="54"/>
      <c r="E22" s="54"/>
      <c r="F22" s="54"/>
      <c r="G22" s="54"/>
      <c r="H22" s="54"/>
      <c r="I22" s="54"/>
      <c r="J22" s="54"/>
      <c r="K22" s="54"/>
    </row>
    <row r="23" spans="2:11" ht="20.45" customHeight="1" thickBot="1" x14ac:dyDescent="0.3">
      <c r="B23" s="9">
        <v>19</v>
      </c>
      <c r="C23" s="54" t="s">
        <v>36</v>
      </c>
      <c r="D23" s="54"/>
      <c r="E23" s="54"/>
      <c r="F23" s="54"/>
      <c r="G23" s="54"/>
      <c r="H23" s="54"/>
      <c r="I23" s="54"/>
      <c r="J23" s="54"/>
      <c r="K23" s="54"/>
    </row>
    <row r="24" spans="2:11" ht="20.45" customHeight="1" thickBot="1" x14ac:dyDescent="0.3">
      <c r="B24" s="9">
        <v>20</v>
      </c>
      <c r="C24" s="54" t="s">
        <v>37</v>
      </c>
      <c r="D24" s="54"/>
      <c r="E24" s="54"/>
      <c r="F24" s="54"/>
      <c r="G24" s="54"/>
      <c r="H24" s="54"/>
      <c r="I24" s="54"/>
      <c r="J24" s="54"/>
      <c r="K24" s="54"/>
    </row>
    <row r="25" spans="2:11" ht="20.45" customHeight="1" thickBot="1" x14ac:dyDescent="0.3">
      <c r="B25" s="9">
        <v>21</v>
      </c>
      <c r="C25" s="54" t="s">
        <v>38</v>
      </c>
      <c r="D25" s="54"/>
      <c r="E25" s="54"/>
      <c r="F25" s="54"/>
      <c r="G25" s="54"/>
      <c r="H25" s="54"/>
      <c r="I25" s="54"/>
      <c r="J25" s="54"/>
      <c r="K25" s="54"/>
    </row>
    <row r="26" spans="2:11" ht="20.45" customHeight="1" thickBot="1" x14ac:dyDescent="0.3">
      <c r="B26" s="10"/>
      <c r="C26" s="52" t="s">
        <v>116</v>
      </c>
      <c r="D26" s="53">
        <f>SUM(D27:D32)</f>
        <v>0</v>
      </c>
      <c r="E26" s="53">
        <f t="shared" ref="E26:K26" si="2">SUM(E27:E32)</f>
        <v>0</v>
      </c>
      <c r="F26" s="53">
        <f t="shared" si="2"/>
        <v>0</v>
      </c>
      <c r="G26" s="53">
        <f t="shared" si="2"/>
        <v>0</v>
      </c>
      <c r="H26" s="53">
        <f t="shared" si="2"/>
        <v>0</v>
      </c>
      <c r="I26" s="53">
        <f t="shared" si="2"/>
        <v>0</v>
      </c>
      <c r="J26" s="53">
        <f t="shared" si="2"/>
        <v>0</v>
      </c>
      <c r="K26" s="53">
        <f t="shared" si="2"/>
        <v>0</v>
      </c>
    </row>
    <row r="27" spans="2:11" ht="20.45" customHeight="1" thickBot="1" x14ac:dyDescent="0.3">
      <c r="B27" s="9">
        <v>22</v>
      </c>
      <c r="C27" s="54" t="s">
        <v>39</v>
      </c>
      <c r="D27" s="54"/>
      <c r="E27" s="54"/>
      <c r="F27" s="54"/>
      <c r="G27" s="54"/>
      <c r="H27" s="54"/>
      <c r="I27" s="54"/>
      <c r="J27" s="54"/>
      <c r="K27" s="54"/>
    </row>
    <row r="28" spans="2:11" ht="20.45" customHeight="1" thickBot="1" x14ac:dyDescent="0.3">
      <c r="B28" s="9">
        <v>23</v>
      </c>
      <c r="C28" s="54" t="s">
        <v>40</v>
      </c>
      <c r="D28" s="54"/>
      <c r="E28" s="54"/>
      <c r="F28" s="54"/>
      <c r="G28" s="54"/>
      <c r="H28" s="54"/>
      <c r="I28" s="54"/>
      <c r="J28" s="54"/>
      <c r="K28" s="54"/>
    </row>
    <row r="29" spans="2:11" ht="20.45" customHeight="1" thickBot="1" x14ac:dyDescent="0.3">
      <c r="B29" s="9">
        <v>24</v>
      </c>
      <c r="C29" s="54" t="s">
        <v>41</v>
      </c>
      <c r="D29" s="54"/>
      <c r="E29" s="54"/>
      <c r="F29" s="54"/>
      <c r="G29" s="54"/>
      <c r="H29" s="54"/>
      <c r="I29" s="54"/>
      <c r="J29" s="54"/>
      <c r="K29" s="54"/>
    </row>
    <row r="30" spans="2:11" ht="20.45" customHeight="1" thickBot="1" x14ac:dyDescent="0.3">
      <c r="B30" s="9">
        <v>25</v>
      </c>
      <c r="C30" s="54" t="s">
        <v>42</v>
      </c>
      <c r="D30" s="54"/>
      <c r="E30" s="54"/>
      <c r="F30" s="54"/>
      <c r="G30" s="54"/>
      <c r="H30" s="54"/>
      <c r="I30" s="54"/>
      <c r="J30" s="54"/>
      <c r="K30" s="54"/>
    </row>
    <row r="31" spans="2:11" ht="26.25" thickBot="1" x14ac:dyDescent="0.3">
      <c r="B31" s="9">
        <v>26</v>
      </c>
      <c r="C31" s="54" t="s">
        <v>43</v>
      </c>
      <c r="D31" s="54"/>
      <c r="E31" s="54"/>
      <c r="F31" s="54"/>
      <c r="G31" s="54"/>
      <c r="H31" s="54"/>
      <c r="I31" s="54"/>
      <c r="J31" s="54"/>
      <c r="K31" s="54"/>
    </row>
    <row r="32" spans="2:11" ht="26.25" thickBot="1" x14ac:dyDescent="0.3">
      <c r="B32" s="9">
        <v>27</v>
      </c>
      <c r="C32" s="54" t="s">
        <v>44</v>
      </c>
      <c r="D32" s="54"/>
      <c r="E32" s="54"/>
      <c r="F32" s="54"/>
      <c r="G32" s="54"/>
      <c r="H32" s="54"/>
      <c r="I32" s="54"/>
      <c r="J32" s="54"/>
      <c r="K32" s="54"/>
    </row>
    <row r="33" spans="2:11" ht="20.45" customHeight="1" thickBot="1" x14ac:dyDescent="0.3">
      <c r="B33" s="8"/>
      <c r="C33" s="52" t="s">
        <v>117</v>
      </c>
      <c r="D33" s="53">
        <f>SUM(D34:D47)</f>
        <v>0</v>
      </c>
      <c r="E33" s="53">
        <f t="shared" ref="E33:K33" si="3">SUM(E34:E47)</f>
        <v>0</v>
      </c>
      <c r="F33" s="53">
        <f t="shared" si="3"/>
        <v>0</v>
      </c>
      <c r="G33" s="53">
        <f t="shared" si="3"/>
        <v>0</v>
      </c>
      <c r="H33" s="53">
        <f t="shared" si="3"/>
        <v>0</v>
      </c>
      <c r="I33" s="53">
        <f t="shared" si="3"/>
        <v>0</v>
      </c>
      <c r="J33" s="53">
        <f t="shared" si="3"/>
        <v>0</v>
      </c>
      <c r="K33" s="53">
        <f t="shared" si="3"/>
        <v>0</v>
      </c>
    </row>
    <row r="34" spans="2:11" ht="20.45" customHeight="1" thickBot="1" x14ac:dyDescent="0.3">
      <c r="B34" s="11">
        <v>28</v>
      </c>
      <c r="C34" s="55" t="s">
        <v>45</v>
      </c>
      <c r="D34" s="54"/>
      <c r="E34" s="54"/>
      <c r="F34" s="54"/>
      <c r="G34" s="54"/>
      <c r="H34" s="54"/>
      <c r="I34" s="54"/>
      <c r="J34" s="54"/>
      <c r="K34" s="54"/>
    </row>
    <row r="35" spans="2:11" ht="20.45" customHeight="1" thickBot="1" x14ac:dyDescent="0.3">
      <c r="B35" s="11">
        <v>29</v>
      </c>
      <c r="C35" s="55" t="s">
        <v>46</v>
      </c>
      <c r="D35" s="54"/>
      <c r="E35" s="54"/>
      <c r="F35" s="54"/>
      <c r="G35" s="54"/>
      <c r="H35" s="54"/>
      <c r="I35" s="54"/>
      <c r="J35" s="54"/>
      <c r="K35" s="54"/>
    </row>
    <row r="36" spans="2:11" ht="20.45" customHeight="1" thickBot="1" x14ac:dyDescent="0.3">
      <c r="B36" s="11">
        <v>30</v>
      </c>
      <c r="C36" s="55" t="s">
        <v>47</v>
      </c>
      <c r="D36" s="54"/>
      <c r="E36" s="54"/>
      <c r="F36" s="54"/>
      <c r="G36" s="54"/>
      <c r="H36" s="54"/>
      <c r="I36" s="54"/>
      <c r="J36" s="54"/>
      <c r="K36" s="54"/>
    </row>
    <row r="37" spans="2:11" ht="20.45" customHeight="1" thickBot="1" x14ac:dyDescent="0.3">
      <c r="B37" s="11">
        <v>31</v>
      </c>
      <c r="C37" s="55" t="s">
        <v>48</v>
      </c>
      <c r="D37" s="54"/>
      <c r="E37" s="54"/>
      <c r="F37" s="54"/>
      <c r="G37" s="54"/>
      <c r="H37" s="54"/>
      <c r="I37" s="54"/>
      <c r="J37" s="54"/>
      <c r="K37" s="54"/>
    </row>
    <row r="38" spans="2:11" ht="20.45" customHeight="1" thickBot="1" x14ac:dyDescent="0.3">
      <c r="B38" s="11">
        <v>32</v>
      </c>
      <c r="C38" s="55" t="s">
        <v>49</v>
      </c>
      <c r="D38" s="54"/>
      <c r="E38" s="54"/>
      <c r="F38" s="54"/>
      <c r="G38" s="54"/>
      <c r="H38" s="54"/>
      <c r="I38" s="54"/>
      <c r="J38" s="54"/>
      <c r="K38" s="54"/>
    </row>
    <row r="39" spans="2:11" ht="28.5" customHeight="1" thickBot="1" x14ac:dyDescent="0.3">
      <c r="B39" s="11">
        <v>33</v>
      </c>
      <c r="C39" s="54" t="s">
        <v>618</v>
      </c>
      <c r="D39" s="54"/>
      <c r="E39" s="54"/>
      <c r="F39" s="54"/>
      <c r="G39" s="54"/>
      <c r="H39" s="54"/>
      <c r="I39" s="54"/>
      <c r="J39" s="54"/>
      <c r="K39" s="54"/>
    </row>
    <row r="40" spans="2:11" ht="20.45" customHeight="1" thickBot="1" x14ac:dyDescent="0.3">
      <c r="B40" s="11">
        <v>34</v>
      </c>
      <c r="C40" s="55" t="s">
        <v>51</v>
      </c>
      <c r="D40" s="54"/>
      <c r="E40" s="54"/>
      <c r="F40" s="54"/>
      <c r="G40" s="54"/>
      <c r="H40" s="54"/>
      <c r="I40" s="54"/>
      <c r="J40" s="54"/>
      <c r="K40" s="54"/>
    </row>
    <row r="41" spans="2:11" ht="20.45" customHeight="1" thickBot="1" x14ac:dyDescent="0.3">
      <c r="B41" s="11">
        <v>35</v>
      </c>
      <c r="C41" s="55" t="s">
        <v>52</v>
      </c>
      <c r="D41" s="54"/>
      <c r="E41" s="54"/>
      <c r="F41" s="54"/>
      <c r="G41" s="54"/>
      <c r="H41" s="54"/>
      <c r="I41" s="54"/>
      <c r="J41" s="54"/>
      <c r="K41" s="54"/>
    </row>
    <row r="42" spans="2:11" ht="20.45" customHeight="1" thickBot="1" x14ac:dyDescent="0.3">
      <c r="B42" s="11">
        <v>36</v>
      </c>
      <c r="C42" s="55" t="s">
        <v>53</v>
      </c>
      <c r="D42" s="54"/>
      <c r="E42" s="54"/>
      <c r="F42" s="54"/>
      <c r="G42" s="54"/>
      <c r="H42" s="54"/>
      <c r="I42" s="54"/>
      <c r="J42" s="54"/>
      <c r="K42" s="54"/>
    </row>
    <row r="43" spans="2:11" ht="20.45" customHeight="1" thickBot="1" x14ac:dyDescent="0.3">
      <c r="B43" s="11">
        <v>37</v>
      </c>
      <c r="C43" s="55" t="s">
        <v>54</v>
      </c>
      <c r="D43" s="54"/>
      <c r="E43" s="54"/>
      <c r="F43" s="54"/>
      <c r="G43" s="54"/>
      <c r="H43" s="54"/>
      <c r="I43" s="54"/>
      <c r="J43" s="54"/>
      <c r="K43" s="54"/>
    </row>
    <row r="44" spans="2:11" ht="20.45" customHeight="1" thickBot="1" x14ac:dyDescent="0.3">
      <c r="B44" s="11">
        <v>38</v>
      </c>
      <c r="C44" s="55" t="s">
        <v>55</v>
      </c>
      <c r="D44" s="54"/>
      <c r="E44" s="54"/>
      <c r="F44" s="54"/>
      <c r="G44" s="54"/>
      <c r="H44" s="54"/>
      <c r="I44" s="54"/>
      <c r="J44" s="54"/>
      <c r="K44" s="54"/>
    </row>
    <row r="45" spans="2:11" ht="20.45" customHeight="1" thickBot="1" x14ac:dyDescent="0.3">
      <c r="B45" s="11">
        <v>39</v>
      </c>
      <c r="C45" s="55" t="s">
        <v>56</v>
      </c>
      <c r="D45" s="54"/>
      <c r="E45" s="54"/>
      <c r="F45" s="54"/>
      <c r="G45" s="54"/>
      <c r="H45" s="54"/>
      <c r="I45" s="54"/>
      <c r="J45" s="54"/>
      <c r="K45" s="54"/>
    </row>
    <row r="46" spans="2:11" ht="20.45" customHeight="1" thickBot="1" x14ac:dyDescent="0.3">
      <c r="B46" s="11">
        <v>40</v>
      </c>
      <c r="C46" s="55" t="s">
        <v>57</v>
      </c>
      <c r="D46" s="54"/>
      <c r="E46" s="54"/>
      <c r="F46" s="54"/>
      <c r="G46" s="54"/>
      <c r="H46" s="54"/>
      <c r="I46" s="54"/>
      <c r="J46" s="54"/>
      <c r="K46" s="54"/>
    </row>
    <row r="47" spans="2:11" ht="20.45" customHeight="1" thickBot="1" x14ac:dyDescent="0.3">
      <c r="B47" s="11">
        <v>41</v>
      </c>
      <c r="C47" s="55" t="s">
        <v>58</v>
      </c>
      <c r="D47" s="54"/>
      <c r="E47" s="54"/>
      <c r="F47" s="54"/>
      <c r="G47" s="54"/>
      <c r="H47" s="54"/>
      <c r="I47" s="54"/>
      <c r="J47" s="54"/>
      <c r="K47" s="54"/>
    </row>
    <row r="48" spans="2:11" ht="20.45" customHeight="1" thickBot="1" x14ac:dyDescent="0.3">
      <c r="B48" s="8"/>
      <c r="C48" s="52" t="s">
        <v>118</v>
      </c>
      <c r="D48" s="53">
        <f>SUM(D49:D56)</f>
        <v>0</v>
      </c>
      <c r="E48" s="53">
        <f t="shared" ref="E48:K48" si="4">SUM(E49:E56)</f>
        <v>0</v>
      </c>
      <c r="F48" s="53">
        <f t="shared" si="4"/>
        <v>0</v>
      </c>
      <c r="G48" s="53">
        <f t="shared" si="4"/>
        <v>0</v>
      </c>
      <c r="H48" s="53">
        <f t="shared" si="4"/>
        <v>0</v>
      </c>
      <c r="I48" s="53">
        <f t="shared" si="4"/>
        <v>0</v>
      </c>
      <c r="J48" s="53">
        <f t="shared" si="4"/>
        <v>0</v>
      </c>
      <c r="K48" s="53">
        <f t="shared" si="4"/>
        <v>0</v>
      </c>
    </row>
    <row r="49" spans="2:11" ht="20.45" customHeight="1" thickBot="1" x14ac:dyDescent="0.3">
      <c r="B49" s="9">
        <v>42</v>
      </c>
      <c r="C49" s="54" t="s">
        <v>59</v>
      </c>
      <c r="D49" s="54"/>
      <c r="E49" s="54"/>
      <c r="F49" s="54"/>
      <c r="G49" s="54"/>
      <c r="H49" s="54"/>
      <c r="I49" s="54"/>
      <c r="J49" s="54"/>
      <c r="K49" s="54"/>
    </row>
    <row r="50" spans="2:11" ht="20.45" customHeight="1" thickBot="1" x14ac:dyDescent="0.3">
      <c r="B50" s="9">
        <v>43</v>
      </c>
      <c r="C50" s="54" t="s">
        <v>60</v>
      </c>
      <c r="D50" s="54"/>
      <c r="E50" s="54"/>
      <c r="F50" s="54"/>
      <c r="G50" s="54"/>
      <c r="H50" s="54"/>
      <c r="I50" s="54"/>
      <c r="J50" s="54"/>
      <c r="K50" s="54"/>
    </row>
    <row r="51" spans="2:11" ht="20.45" customHeight="1" thickBot="1" x14ac:dyDescent="0.3">
      <c r="B51" s="9">
        <v>44</v>
      </c>
      <c r="C51" s="55" t="s">
        <v>61</v>
      </c>
      <c r="D51" s="54"/>
      <c r="E51" s="54"/>
      <c r="F51" s="54"/>
      <c r="G51" s="54"/>
      <c r="H51" s="54"/>
      <c r="I51" s="54"/>
      <c r="J51" s="54"/>
      <c r="K51" s="54"/>
    </row>
    <row r="52" spans="2:11" ht="20.45" customHeight="1" thickBot="1" x14ac:dyDescent="0.3">
      <c r="B52" s="9">
        <v>45</v>
      </c>
      <c r="C52" s="54" t="s">
        <v>62</v>
      </c>
      <c r="D52" s="54"/>
      <c r="E52" s="54"/>
      <c r="F52" s="54"/>
      <c r="G52" s="54"/>
      <c r="H52" s="54"/>
      <c r="I52" s="54"/>
      <c r="J52" s="54"/>
      <c r="K52" s="54"/>
    </row>
    <row r="53" spans="2:11" ht="20.45" customHeight="1" thickBot="1" x14ac:dyDescent="0.3">
      <c r="B53" s="9">
        <v>46</v>
      </c>
      <c r="C53" s="54" t="s">
        <v>63</v>
      </c>
      <c r="D53" s="54"/>
      <c r="E53" s="54"/>
      <c r="F53" s="54"/>
      <c r="G53" s="54"/>
      <c r="H53" s="54"/>
      <c r="I53" s="54"/>
      <c r="J53" s="54"/>
      <c r="K53" s="54"/>
    </row>
    <row r="54" spans="2:11" ht="20.45" customHeight="1" thickBot="1" x14ac:dyDescent="0.3">
      <c r="B54" s="9">
        <v>47</v>
      </c>
      <c r="C54" s="54" t="s">
        <v>64</v>
      </c>
      <c r="D54" s="54"/>
      <c r="E54" s="54"/>
      <c r="F54" s="54"/>
      <c r="G54" s="54"/>
      <c r="H54" s="54"/>
      <c r="I54" s="54"/>
      <c r="J54" s="54"/>
      <c r="K54" s="54"/>
    </row>
    <row r="55" spans="2:11" ht="20.45" customHeight="1" thickBot="1" x14ac:dyDescent="0.3">
      <c r="B55" s="9">
        <v>48</v>
      </c>
      <c r="C55" s="54" t="s">
        <v>65</v>
      </c>
      <c r="D55" s="54"/>
      <c r="E55" s="54"/>
      <c r="F55" s="54"/>
      <c r="G55" s="54"/>
      <c r="H55" s="54"/>
      <c r="I55" s="54"/>
      <c r="J55" s="54"/>
      <c r="K55" s="54"/>
    </row>
    <row r="56" spans="2:11" ht="20.45" customHeight="1" thickBot="1" x14ac:dyDescent="0.3">
      <c r="B56" s="9">
        <v>49</v>
      </c>
      <c r="C56" s="55" t="s">
        <v>66</v>
      </c>
      <c r="D56" s="54"/>
      <c r="E56" s="54"/>
      <c r="F56" s="54"/>
      <c r="G56" s="54"/>
      <c r="H56" s="54"/>
      <c r="I56" s="54"/>
      <c r="J56" s="54"/>
      <c r="K56" s="54"/>
    </row>
    <row r="57" spans="2:11" ht="20.45" customHeight="1" thickBot="1" x14ac:dyDescent="0.3">
      <c r="B57" s="8"/>
      <c r="C57" s="52" t="s">
        <v>119</v>
      </c>
      <c r="D57" s="53">
        <f t="shared" ref="D57:K57" si="5">SUM(D58:D64)</f>
        <v>0</v>
      </c>
      <c r="E57" s="53">
        <f t="shared" si="5"/>
        <v>0</v>
      </c>
      <c r="F57" s="53">
        <f t="shared" si="5"/>
        <v>0</v>
      </c>
      <c r="G57" s="53">
        <f t="shared" si="5"/>
        <v>0</v>
      </c>
      <c r="H57" s="53">
        <f t="shared" si="5"/>
        <v>0</v>
      </c>
      <c r="I57" s="53">
        <f t="shared" si="5"/>
        <v>0</v>
      </c>
      <c r="J57" s="53">
        <f t="shared" si="5"/>
        <v>0</v>
      </c>
      <c r="K57" s="53">
        <f t="shared" si="5"/>
        <v>0</v>
      </c>
    </row>
    <row r="58" spans="2:11" ht="20.45" customHeight="1" thickBot="1" x14ac:dyDescent="0.3">
      <c r="B58" s="11">
        <v>50</v>
      </c>
      <c r="C58" s="55" t="s">
        <v>67</v>
      </c>
      <c r="D58" s="54"/>
      <c r="E58" s="54"/>
      <c r="F58" s="54"/>
      <c r="G58" s="54"/>
      <c r="H58" s="54"/>
      <c r="I58" s="54"/>
      <c r="J58" s="54"/>
      <c r="K58" s="54"/>
    </row>
    <row r="59" spans="2:11" ht="20.45" customHeight="1" thickBot="1" x14ac:dyDescent="0.3">
      <c r="B59" s="11">
        <v>51</v>
      </c>
      <c r="C59" s="55" t="s">
        <v>68</v>
      </c>
      <c r="D59" s="54"/>
      <c r="E59" s="54"/>
      <c r="F59" s="54"/>
      <c r="G59" s="54"/>
      <c r="H59" s="54"/>
      <c r="I59" s="54"/>
      <c r="J59" s="54"/>
      <c r="K59" s="54"/>
    </row>
    <row r="60" spans="2:11" ht="26.25" thickBot="1" x14ac:dyDescent="0.3">
      <c r="B60" s="11">
        <v>52</v>
      </c>
      <c r="C60" s="54" t="s">
        <v>69</v>
      </c>
      <c r="D60" s="54"/>
      <c r="E60" s="54"/>
      <c r="F60" s="54"/>
      <c r="G60" s="54"/>
      <c r="H60" s="54"/>
      <c r="I60" s="54"/>
      <c r="J60" s="54"/>
      <c r="K60" s="54"/>
    </row>
    <row r="61" spans="2:11" ht="26.25" thickBot="1" x14ac:dyDescent="0.3">
      <c r="B61" s="11">
        <v>53</v>
      </c>
      <c r="C61" s="54" t="s">
        <v>70</v>
      </c>
      <c r="D61" s="54"/>
      <c r="E61" s="54"/>
      <c r="F61" s="54"/>
      <c r="G61" s="54"/>
      <c r="H61" s="54"/>
      <c r="I61" s="54"/>
      <c r="J61" s="54"/>
      <c r="K61" s="54"/>
    </row>
    <row r="62" spans="2:11" ht="26.25" thickBot="1" x14ac:dyDescent="0.3">
      <c r="B62" s="11">
        <v>54</v>
      </c>
      <c r="C62" s="54" t="s">
        <v>71</v>
      </c>
      <c r="D62" s="54"/>
      <c r="E62" s="54"/>
      <c r="F62" s="54"/>
      <c r="G62" s="54"/>
      <c r="H62" s="54"/>
      <c r="I62" s="54"/>
      <c r="J62" s="54"/>
      <c r="K62" s="54"/>
    </row>
    <row r="63" spans="2:11" ht="20.45" customHeight="1" thickBot="1" x14ac:dyDescent="0.3">
      <c r="B63" s="11">
        <v>55</v>
      </c>
      <c r="C63" s="55" t="s">
        <v>72</v>
      </c>
      <c r="D63" s="54"/>
      <c r="E63" s="54"/>
      <c r="F63" s="54"/>
      <c r="G63" s="54"/>
      <c r="H63" s="54"/>
      <c r="I63" s="54"/>
      <c r="J63" s="54"/>
      <c r="K63" s="54"/>
    </row>
    <row r="64" spans="2:11" ht="20.45" customHeight="1" thickBot="1" x14ac:dyDescent="0.3">
      <c r="B64" s="11">
        <v>56</v>
      </c>
      <c r="C64" s="55" t="s">
        <v>73</v>
      </c>
      <c r="D64" s="54"/>
      <c r="E64" s="54"/>
      <c r="F64" s="54"/>
      <c r="G64" s="54"/>
      <c r="H64" s="54"/>
      <c r="I64" s="54"/>
      <c r="J64" s="54"/>
      <c r="K64" s="54"/>
    </row>
    <row r="65" spans="2:11" ht="20.45" customHeight="1" thickBot="1" x14ac:dyDescent="0.3">
      <c r="B65" s="8"/>
      <c r="C65" s="52" t="s">
        <v>120</v>
      </c>
      <c r="D65" s="53">
        <f>SUM(D66:D76)</f>
        <v>0</v>
      </c>
      <c r="E65" s="53">
        <f t="shared" ref="E65:K65" si="6">SUM(E66:E76)</f>
        <v>0</v>
      </c>
      <c r="F65" s="53">
        <f t="shared" si="6"/>
        <v>0</v>
      </c>
      <c r="G65" s="53">
        <f t="shared" si="6"/>
        <v>0</v>
      </c>
      <c r="H65" s="53">
        <f t="shared" si="6"/>
        <v>0</v>
      </c>
      <c r="I65" s="53">
        <f t="shared" si="6"/>
        <v>0</v>
      </c>
      <c r="J65" s="53">
        <f t="shared" si="6"/>
        <v>0</v>
      </c>
      <c r="K65" s="53">
        <f t="shared" si="6"/>
        <v>0</v>
      </c>
    </row>
    <row r="66" spans="2:11" ht="20.45" customHeight="1" thickBot="1" x14ac:dyDescent="0.3">
      <c r="B66" s="11">
        <v>57</v>
      </c>
      <c r="C66" s="55" t="s">
        <v>74</v>
      </c>
      <c r="D66" s="54"/>
      <c r="E66" s="54"/>
      <c r="F66" s="54"/>
      <c r="G66" s="54"/>
      <c r="H66" s="54"/>
      <c r="I66" s="54"/>
      <c r="J66" s="54"/>
      <c r="K66" s="54"/>
    </row>
    <row r="67" spans="2:11" ht="20.45" customHeight="1" thickBot="1" x14ac:dyDescent="0.3">
      <c r="B67" s="9">
        <v>58</v>
      </c>
      <c r="C67" s="54" t="s">
        <v>75</v>
      </c>
      <c r="D67" s="54"/>
      <c r="E67" s="54"/>
      <c r="F67" s="54"/>
      <c r="G67" s="54"/>
      <c r="H67" s="54"/>
      <c r="I67" s="54"/>
      <c r="J67" s="54"/>
      <c r="K67" s="54"/>
    </row>
    <row r="68" spans="2:11" ht="20.45" customHeight="1" thickBot="1" x14ac:dyDescent="0.3">
      <c r="B68" s="11">
        <v>59</v>
      </c>
      <c r="C68" s="55" t="s">
        <v>76</v>
      </c>
      <c r="D68" s="54"/>
      <c r="E68" s="54"/>
      <c r="F68" s="54"/>
      <c r="G68" s="54"/>
      <c r="H68" s="54"/>
      <c r="I68" s="54"/>
      <c r="J68" s="54"/>
      <c r="K68" s="54"/>
    </row>
    <row r="69" spans="2:11" ht="20.45" customHeight="1" thickBot="1" x14ac:dyDescent="0.3">
      <c r="B69" s="9">
        <v>60</v>
      </c>
      <c r="C69" s="55" t="s">
        <v>77</v>
      </c>
      <c r="D69" s="54"/>
      <c r="E69" s="54"/>
      <c r="F69" s="54"/>
      <c r="G69" s="54"/>
      <c r="H69" s="54"/>
      <c r="I69" s="54"/>
      <c r="J69" s="54"/>
      <c r="K69" s="54"/>
    </row>
    <row r="70" spans="2:11" ht="20.45" customHeight="1" thickBot="1" x14ac:dyDescent="0.3">
      <c r="B70" s="11">
        <v>61</v>
      </c>
      <c r="C70" s="54" t="s">
        <v>78</v>
      </c>
      <c r="D70" s="54"/>
      <c r="E70" s="54"/>
      <c r="F70" s="54"/>
      <c r="G70" s="54"/>
      <c r="H70" s="54"/>
      <c r="I70" s="54"/>
      <c r="J70" s="54"/>
      <c r="K70" s="54"/>
    </row>
    <row r="71" spans="2:11" ht="20.45" customHeight="1" thickBot="1" x14ac:dyDescent="0.3">
      <c r="B71" s="9">
        <v>62</v>
      </c>
      <c r="C71" s="55" t="s">
        <v>79</v>
      </c>
      <c r="D71" s="54"/>
      <c r="E71" s="54"/>
      <c r="F71" s="54"/>
      <c r="G71" s="54"/>
      <c r="H71" s="54"/>
      <c r="I71" s="54"/>
      <c r="J71" s="54"/>
      <c r="K71" s="54"/>
    </row>
    <row r="72" spans="2:11" ht="20.45" customHeight="1" thickBot="1" x14ac:dyDescent="0.3">
      <c r="B72" s="11">
        <v>63</v>
      </c>
      <c r="C72" s="55" t="s">
        <v>80</v>
      </c>
      <c r="D72" s="54"/>
      <c r="E72" s="54"/>
      <c r="F72" s="54"/>
      <c r="G72" s="54"/>
      <c r="H72" s="54"/>
      <c r="I72" s="54"/>
      <c r="J72" s="54"/>
      <c r="K72" s="54"/>
    </row>
    <row r="73" spans="2:11" ht="20.45" customHeight="1" thickBot="1" x14ac:dyDescent="0.3">
      <c r="B73" s="9">
        <v>64</v>
      </c>
      <c r="C73" s="55" t="s">
        <v>81</v>
      </c>
      <c r="D73" s="54"/>
      <c r="E73" s="54"/>
      <c r="F73" s="54"/>
      <c r="G73" s="54"/>
      <c r="H73" s="54"/>
      <c r="I73" s="54"/>
      <c r="J73" s="54"/>
      <c r="K73" s="54"/>
    </row>
    <row r="74" spans="2:11" ht="20.45" customHeight="1" thickBot="1" x14ac:dyDescent="0.3">
      <c r="B74" s="11">
        <v>65</v>
      </c>
      <c r="C74" s="54" t="s">
        <v>82</v>
      </c>
      <c r="D74" s="54"/>
      <c r="E74" s="54"/>
      <c r="F74" s="54"/>
      <c r="G74" s="54"/>
      <c r="H74" s="54"/>
      <c r="I74" s="54"/>
      <c r="J74" s="54"/>
      <c r="K74" s="54"/>
    </row>
    <row r="75" spans="2:11" ht="20.45" customHeight="1" thickBot="1" x14ac:dyDescent="0.3">
      <c r="B75" s="9">
        <v>66</v>
      </c>
      <c r="C75" s="54" t="s">
        <v>83</v>
      </c>
      <c r="D75" s="54"/>
      <c r="E75" s="54"/>
      <c r="F75" s="54"/>
      <c r="G75" s="54"/>
      <c r="H75" s="54"/>
      <c r="I75" s="54"/>
      <c r="J75" s="54"/>
      <c r="K75" s="54"/>
    </row>
    <row r="76" spans="2:11" ht="20.45" customHeight="1" thickBot="1" x14ac:dyDescent="0.3">
      <c r="B76" s="11">
        <v>67</v>
      </c>
      <c r="C76" s="54" t="s">
        <v>84</v>
      </c>
      <c r="D76" s="54"/>
      <c r="E76" s="54"/>
      <c r="F76" s="54"/>
      <c r="G76" s="54"/>
      <c r="H76" s="54"/>
      <c r="I76" s="54"/>
      <c r="J76" s="54"/>
      <c r="K76" s="54"/>
    </row>
    <row r="77" spans="2:11" ht="20.45" customHeight="1" thickBot="1" x14ac:dyDescent="0.3">
      <c r="B77" s="10"/>
      <c r="C77" s="52" t="s">
        <v>121</v>
      </c>
      <c r="D77" s="53">
        <f>SUM(D78:D95)</f>
        <v>0</v>
      </c>
      <c r="E77" s="53">
        <f t="shared" ref="E77:K77" si="7">SUM(E78:E95)</f>
        <v>0</v>
      </c>
      <c r="F77" s="53">
        <f t="shared" si="7"/>
        <v>0</v>
      </c>
      <c r="G77" s="53">
        <f t="shared" si="7"/>
        <v>0</v>
      </c>
      <c r="H77" s="53">
        <f t="shared" si="7"/>
        <v>0</v>
      </c>
      <c r="I77" s="53">
        <f t="shared" si="7"/>
        <v>0</v>
      </c>
      <c r="J77" s="53">
        <f t="shared" si="7"/>
        <v>0</v>
      </c>
      <c r="K77" s="53">
        <f t="shared" si="7"/>
        <v>0</v>
      </c>
    </row>
    <row r="78" spans="2:11" ht="20.45" customHeight="1" thickBot="1" x14ac:dyDescent="0.3">
      <c r="B78" s="9">
        <v>68</v>
      </c>
      <c r="C78" s="54" t="s">
        <v>85</v>
      </c>
      <c r="D78" s="54"/>
      <c r="E78" s="54"/>
      <c r="F78" s="54"/>
      <c r="G78" s="54"/>
      <c r="H78" s="54"/>
      <c r="I78" s="54"/>
      <c r="J78" s="54"/>
      <c r="K78" s="54"/>
    </row>
    <row r="79" spans="2:11" ht="20.45" customHeight="1" thickBot="1" x14ac:dyDescent="0.3">
      <c r="B79" s="9">
        <v>69</v>
      </c>
      <c r="C79" s="54" t="s">
        <v>86</v>
      </c>
      <c r="D79" s="54"/>
      <c r="E79" s="54"/>
      <c r="F79" s="54"/>
      <c r="G79" s="54"/>
      <c r="H79" s="54"/>
      <c r="I79" s="54"/>
      <c r="J79" s="54"/>
      <c r="K79" s="54"/>
    </row>
    <row r="80" spans="2:11" ht="20.45" customHeight="1" thickBot="1" x14ac:dyDescent="0.3">
      <c r="B80" s="9">
        <v>70</v>
      </c>
      <c r="C80" s="54" t="s">
        <v>87</v>
      </c>
      <c r="D80" s="54"/>
      <c r="E80" s="54"/>
      <c r="F80" s="54"/>
      <c r="G80" s="54"/>
      <c r="H80" s="54"/>
      <c r="I80" s="54"/>
      <c r="J80" s="54"/>
      <c r="K80" s="54"/>
    </row>
    <row r="81" spans="2:11" ht="20.45" customHeight="1" thickBot="1" x14ac:dyDescent="0.3">
      <c r="B81" s="9">
        <v>71</v>
      </c>
      <c r="C81" s="54" t="s">
        <v>88</v>
      </c>
      <c r="D81" s="54"/>
      <c r="E81" s="54"/>
      <c r="F81" s="54"/>
      <c r="G81" s="54"/>
      <c r="H81" s="54"/>
      <c r="I81" s="54"/>
      <c r="J81" s="54"/>
      <c r="K81" s="54"/>
    </row>
    <row r="82" spans="2:11" ht="20.45" customHeight="1" thickBot="1" x14ac:dyDescent="0.3">
      <c r="B82" s="9">
        <v>72</v>
      </c>
      <c r="C82" s="54" t="s">
        <v>89</v>
      </c>
      <c r="D82" s="54"/>
      <c r="E82" s="54"/>
      <c r="F82" s="54"/>
      <c r="G82" s="54"/>
      <c r="H82" s="54"/>
      <c r="I82" s="54"/>
      <c r="J82" s="54"/>
      <c r="K82" s="54"/>
    </row>
    <row r="83" spans="2:11" ht="20.45" customHeight="1" thickBot="1" x14ac:dyDescent="0.3">
      <c r="B83" s="9">
        <v>73</v>
      </c>
      <c r="C83" s="54" t="s">
        <v>90</v>
      </c>
      <c r="D83" s="54"/>
      <c r="E83" s="54"/>
      <c r="F83" s="54"/>
      <c r="G83" s="54"/>
      <c r="H83" s="54"/>
      <c r="I83" s="54"/>
      <c r="J83" s="54"/>
      <c r="K83" s="54"/>
    </row>
    <row r="84" spans="2:11" ht="20.45" customHeight="1" thickBot="1" x14ac:dyDescent="0.3">
      <c r="B84" s="9">
        <v>74</v>
      </c>
      <c r="C84" s="54" t="s">
        <v>91</v>
      </c>
      <c r="D84" s="54"/>
      <c r="E84" s="54"/>
      <c r="F84" s="54"/>
      <c r="G84" s="54"/>
      <c r="H84" s="54"/>
      <c r="I84" s="54"/>
      <c r="J84" s="54"/>
      <c r="K84" s="54"/>
    </row>
    <row r="85" spans="2:11" ht="20.45" customHeight="1" thickBot="1" x14ac:dyDescent="0.3">
      <c r="B85" s="9">
        <v>75</v>
      </c>
      <c r="C85" s="55" t="s">
        <v>92</v>
      </c>
      <c r="D85" s="54"/>
      <c r="E85" s="54"/>
      <c r="F85" s="54"/>
      <c r="G85" s="54"/>
      <c r="H85" s="54"/>
      <c r="I85" s="54"/>
      <c r="J85" s="54"/>
      <c r="K85" s="54"/>
    </row>
    <row r="86" spans="2:11" ht="20.45" customHeight="1" thickBot="1" x14ac:dyDescent="0.3">
      <c r="B86" s="9">
        <v>76</v>
      </c>
      <c r="C86" s="54" t="s">
        <v>93</v>
      </c>
      <c r="D86" s="54"/>
      <c r="E86" s="54"/>
      <c r="F86" s="54"/>
      <c r="G86" s="54"/>
      <c r="H86" s="54"/>
      <c r="I86" s="54"/>
      <c r="J86" s="54"/>
      <c r="K86" s="54"/>
    </row>
    <row r="87" spans="2:11" ht="20.45" customHeight="1" thickBot="1" x14ac:dyDescent="0.3">
      <c r="B87" s="9">
        <v>77</v>
      </c>
      <c r="C87" s="54" t="s">
        <v>94</v>
      </c>
      <c r="D87" s="54"/>
      <c r="E87" s="54"/>
      <c r="F87" s="54"/>
      <c r="G87" s="54"/>
      <c r="H87" s="54"/>
      <c r="I87" s="54"/>
      <c r="J87" s="54"/>
      <c r="K87" s="54"/>
    </row>
    <row r="88" spans="2:11" ht="20.45" customHeight="1" thickBot="1" x14ac:dyDescent="0.3">
      <c r="B88" s="9">
        <v>78</v>
      </c>
      <c r="C88" s="54" t="s">
        <v>95</v>
      </c>
      <c r="D88" s="54"/>
      <c r="E88" s="54"/>
      <c r="F88" s="54"/>
      <c r="G88" s="54"/>
      <c r="H88" s="54"/>
      <c r="I88" s="54"/>
      <c r="J88" s="54"/>
      <c r="K88" s="54"/>
    </row>
    <row r="89" spans="2:11" ht="20.45" customHeight="1" thickBot="1" x14ac:dyDescent="0.3">
      <c r="B89" s="9">
        <v>79</v>
      </c>
      <c r="C89" s="54" t="s">
        <v>96</v>
      </c>
      <c r="D89" s="54"/>
      <c r="E89" s="54"/>
      <c r="F89" s="54"/>
      <c r="G89" s="54"/>
      <c r="H89" s="54"/>
      <c r="I89" s="54"/>
      <c r="J89" s="54"/>
      <c r="K89" s="54"/>
    </row>
    <row r="90" spans="2:11" ht="20.45" customHeight="1" thickBot="1" x14ac:dyDescent="0.3">
      <c r="B90" s="9">
        <v>80</v>
      </c>
      <c r="C90" s="54" t="s">
        <v>97</v>
      </c>
      <c r="D90" s="54"/>
      <c r="E90" s="54"/>
      <c r="F90" s="54"/>
      <c r="G90" s="54"/>
      <c r="H90" s="54"/>
      <c r="I90" s="54"/>
      <c r="J90" s="54"/>
      <c r="K90" s="54"/>
    </row>
    <row r="91" spans="2:11" ht="20.45" customHeight="1" thickBot="1" x14ac:dyDescent="0.3">
      <c r="B91" s="9">
        <v>81</v>
      </c>
      <c r="C91" s="54" t="s">
        <v>98</v>
      </c>
      <c r="D91" s="54"/>
      <c r="E91" s="54"/>
      <c r="F91" s="54"/>
      <c r="G91" s="54"/>
      <c r="H91" s="54"/>
      <c r="I91" s="54"/>
      <c r="J91" s="54"/>
      <c r="K91" s="54"/>
    </row>
    <row r="92" spans="2:11" ht="20.45" customHeight="1" thickBot="1" x14ac:dyDescent="0.3">
      <c r="B92" s="9">
        <v>82</v>
      </c>
      <c r="C92" s="54" t="s">
        <v>99</v>
      </c>
      <c r="D92" s="54"/>
      <c r="E92" s="54"/>
      <c r="F92" s="54"/>
      <c r="G92" s="54"/>
      <c r="H92" s="54"/>
      <c r="I92" s="54"/>
      <c r="J92" s="54"/>
      <c r="K92" s="54"/>
    </row>
    <row r="93" spans="2:11" ht="20.45" customHeight="1" thickBot="1" x14ac:dyDescent="0.3">
      <c r="B93" s="9">
        <v>83</v>
      </c>
      <c r="C93" s="54" t="s">
        <v>100</v>
      </c>
      <c r="D93" s="54"/>
      <c r="E93" s="54"/>
      <c r="F93" s="54"/>
      <c r="G93" s="54"/>
      <c r="H93" s="54"/>
      <c r="I93" s="54"/>
      <c r="J93" s="54"/>
      <c r="K93" s="54"/>
    </row>
    <row r="94" spans="2:11" ht="20.45" customHeight="1" thickBot="1" x14ac:dyDescent="0.3">
      <c r="B94" s="9">
        <v>84</v>
      </c>
      <c r="C94" s="54" t="s">
        <v>101</v>
      </c>
      <c r="D94" s="54"/>
      <c r="E94" s="54"/>
      <c r="F94" s="54"/>
      <c r="G94" s="54"/>
      <c r="H94" s="54"/>
      <c r="I94" s="54"/>
      <c r="J94" s="54"/>
      <c r="K94" s="54"/>
    </row>
    <row r="95" spans="2:11" ht="20.45" customHeight="1" thickBot="1" x14ac:dyDescent="0.3">
      <c r="B95" s="9">
        <v>85</v>
      </c>
      <c r="C95" s="55" t="s">
        <v>102</v>
      </c>
      <c r="D95" s="54"/>
      <c r="E95" s="54"/>
      <c r="F95" s="54"/>
      <c r="G95" s="54"/>
      <c r="H95" s="54"/>
      <c r="I95" s="54"/>
      <c r="J95" s="54"/>
      <c r="K95" s="54"/>
    </row>
    <row r="96" spans="2:11" ht="15.75" thickBot="1" x14ac:dyDescent="0.3">
      <c r="B96" s="10"/>
      <c r="C96" s="187"/>
      <c r="D96" s="53">
        <f>SUM(D97:D114)</f>
        <v>0</v>
      </c>
      <c r="E96" s="53">
        <f t="shared" ref="E96:K96" si="8">SUM(E97:E114)</f>
        <v>0</v>
      </c>
      <c r="F96" s="53">
        <f t="shared" si="8"/>
        <v>0</v>
      </c>
      <c r="G96" s="53">
        <f t="shared" si="8"/>
        <v>0</v>
      </c>
      <c r="H96" s="53">
        <f t="shared" si="8"/>
        <v>0</v>
      </c>
      <c r="I96" s="53">
        <f t="shared" si="8"/>
        <v>0</v>
      </c>
      <c r="J96" s="53">
        <f t="shared" si="8"/>
        <v>0</v>
      </c>
      <c r="K96" s="53">
        <f t="shared" si="8"/>
        <v>0</v>
      </c>
    </row>
    <row r="97" spans="2:11" ht="20.45" customHeight="1" thickBot="1" x14ac:dyDescent="0.3">
      <c r="B97" s="9">
        <v>86</v>
      </c>
      <c r="C97" s="11" t="s">
        <v>608</v>
      </c>
      <c r="D97" s="54"/>
      <c r="E97" s="54"/>
      <c r="F97" s="54"/>
      <c r="G97" s="54"/>
      <c r="H97" s="54"/>
      <c r="I97" s="54"/>
      <c r="J97" s="54"/>
      <c r="K97" s="54"/>
    </row>
    <row r="98" spans="2:11" ht="20.45" customHeight="1" thickBot="1" x14ac:dyDescent="0.3">
      <c r="B98" s="9">
        <v>87</v>
      </c>
      <c r="C98" s="11" t="s">
        <v>609</v>
      </c>
      <c r="D98" s="54"/>
      <c r="E98" s="54"/>
      <c r="F98" s="54"/>
      <c r="G98" s="54"/>
      <c r="H98" s="54"/>
      <c r="I98" s="54"/>
      <c r="J98" s="54"/>
      <c r="K98" s="54"/>
    </row>
    <row r="99" spans="2:11" ht="20.45" customHeight="1" thickBot="1" x14ac:dyDescent="0.3">
      <c r="B99" s="9">
        <v>88</v>
      </c>
      <c r="C99" s="11" t="s">
        <v>610</v>
      </c>
      <c r="D99" s="54"/>
      <c r="E99" s="54"/>
      <c r="F99" s="54"/>
      <c r="G99" s="54"/>
      <c r="H99" s="54"/>
      <c r="I99" s="54"/>
      <c r="J99" s="54"/>
      <c r="K99" s="54"/>
    </row>
    <row r="100" spans="2:11" ht="20.45" customHeight="1" thickBot="1" x14ac:dyDescent="0.3">
      <c r="B100" s="9">
        <v>89</v>
      </c>
      <c r="C100" s="11" t="s">
        <v>611</v>
      </c>
      <c r="D100" s="54"/>
      <c r="E100" s="54"/>
      <c r="F100" s="54"/>
      <c r="G100" s="54"/>
      <c r="H100" s="54"/>
      <c r="I100" s="54"/>
      <c r="J100" s="54"/>
      <c r="K100" s="54"/>
    </row>
    <row r="101" spans="2:11" ht="20.45" customHeight="1" thickBot="1" x14ac:dyDescent="0.3">
      <c r="B101" s="183"/>
      <c r="C101" s="66" t="s">
        <v>247</v>
      </c>
      <c r="D101" s="67">
        <f>SUM(D3,D15,D26,D33,D48,D57,D65,D77,)</f>
        <v>0</v>
      </c>
      <c r="E101" s="67">
        <f t="shared" ref="E101:K101" si="9">SUM(E3,E15,E26,E33,E48,E57,E65,E77,)</f>
        <v>0</v>
      </c>
      <c r="F101" s="67">
        <f t="shared" si="9"/>
        <v>0</v>
      </c>
      <c r="G101" s="67">
        <f t="shared" si="9"/>
        <v>0</v>
      </c>
      <c r="H101" s="67">
        <f t="shared" si="9"/>
        <v>0</v>
      </c>
      <c r="I101" s="67">
        <f t="shared" si="9"/>
        <v>0</v>
      </c>
      <c r="J101" s="67">
        <f t="shared" si="9"/>
        <v>0</v>
      </c>
      <c r="K101" s="67">
        <f t="shared" si="9"/>
        <v>0</v>
      </c>
    </row>
    <row r="108" spans="2:11" x14ac:dyDescent="0.25">
      <c r="B108"/>
    </row>
    <row r="110" spans="2:11" x14ac:dyDescent="0.25">
      <c r="B110" s="3"/>
    </row>
    <row r="111" spans="2:11" x14ac:dyDescent="0.25">
      <c r="B111" s="3"/>
    </row>
  </sheetData>
  <mergeCells count="6">
    <mergeCell ref="J1:K1"/>
    <mergeCell ref="B1:B2"/>
    <mergeCell ref="C1:C2"/>
    <mergeCell ref="D1:E1"/>
    <mergeCell ref="F1:G1"/>
    <mergeCell ref="H1:I1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P41"/>
  <sheetViews>
    <sheetView topLeftCell="C1" workbookViewId="0">
      <selection activeCell="B41" sqref="B41"/>
    </sheetView>
  </sheetViews>
  <sheetFormatPr defaultRowHeight="15" x14ac:dyDescent="0.25"/>
  <cols>
    <col min="2" max="2" width="41.5703125" customWidth="1"/>
    <col min="5" max="5" width="10.140625" customWidth="1"/>
    <col min="9" max="9" width="9.85546875" customWidth="1"/>
  </cols>
  <sheetData>
    <row r="1" spans="2:16" ht="15.75" thickBot="1" x14ac:dyDescent="0.3"/>
    <row r="2" spans="2:16" ht="15.75" thickBot="1" x14ac:dyDescent="0.3">
      <c r="B2" s="205" t="s">
        <v>14</v>
      </c>
      <c r="C2" s="208" t="s">
        <v>0</v>
      </c>
      <c r="D2" s="209"/>
      <c r="E2" s="209"/>
      <c r="F2" s="209"/>
      <c r="G2" s="209"/>
      <c r="H2" s="209"/>
      <c r="I2" s="209"/>
      <c r="J2" s="209"/>
      <c r="K2" s="209"/>
      <c r="L2" s="209"/>
      <c r="M2" s="209"/>
      <c r="N2" s="209"/>
      <c r="O2" s="209"/>
      <c r="P2" s="210"/>
    </row>
    <row r="3" spans="2:16" ht="26.25" customHeight="1" thickBot="1" x14ac:dyDescent="0.3">
      <c r="B3" s="219"/>
      <c r="C3" s="208" t="s">
        <v>2</v>
      </c>
      <c r="D3" s="210"/>
      <c r="E3" s="208" t="s">
        <v>123</v>
      </c>
      <c r="F3" s="210"/>
      <c r="G3" s="208" t="s">
        <v>3</v>
      </c>
      <c r="H3" s="210"/>
      <c r="I3" s="208" t="s">
        <v>4</v>
      </c>
      <c r="J3" s="210"/>
      <c r="K3" s="208" t="s">
        <v>5</v>
      </c>
      <c r="L3" s="210"/>
      <c r="M3" s="208" t="s">
        <v>6</v>
      </c>
      <c r="N3" s="210"/>
      <c r="O3" s="208" t="s">
        <v>7</v>
      </c>
      <c r="P3" s="210"/>
    </row>
    <row r="4" spans="2:16" ht="15.75" thickBot="1" x14ac:dyDescent="0.3">
      <c r="B4" s="206"/>
      <c r="C4" s="69" t="s">
        <v>122</v>
      </c>
      <c r="D4" s="69" t="s">
        <v>223</v>
      </c>
      <c r="E4" s="69" t="s">
        <v>122</v>
      </c>
      <c r="F4" s="69" t="s">
        <v>223</v>
      </c>
      <c r="G4" s="69" t="s">
        <v>122</v>
      </c>
      <c r="H4" s="69" t="s">
        <v>223</v>
      </c>
      <c r="I4" s="69" t="s">
        <v>122</v>
      </c>
      <c r="J4" s="69" t="s">
        <v>223</v>
      </c>
      <c r="K4" s="69" t="s">
        <v>122</v>
      </c>
      <c r="L4" s="69" t="s">
        <v>223</v>
      </c>
      <c r="M4" s="69" t="s">
        <v>122</v>
      </c>
      <c r="N4" s="69" t="s">
        <v>223</v>
      </c>
      <c r="O4" s="69" t="s">
        <v>122</v>
      </c>
      <c r="P4" s="69" t="s">
        <v>223</v>
      </c>
    </row>
    <row r="5" spans="2:16" ht="15.75" thickBot="1" x14ac:dyDescent="0.3">
      <c r="B5" s="193" t="s">
        <v>11</v>
      </c>
      <c r="C5" s="194"/>
      <c r="D5" s="194"/>
      <c r="E5" s="194"/>
      <c r="F5" s="194"/>
      <c r="G5" s="194"/>
      <c r="H5" s="194"/>
      <c r="I5" s="194"/>
      <c r="J5" s="194"/>
      <c r="K5" s="194"/>
      <c r="L5" s="194"/>
      <c r="M5" s="194"/>
      <c r="N5" s="194"/>
      <c r="O5" s="194"/>
      <c r="P5" s="195"/>
    </row>
    <row r="6" spans="2:16" s="58" customFormat="1" ht="21.6" customHeight="1" thickBot="1" x14ac:dyDescent="0.3">
      <c r="B6" s="13" t="s">
        <v>126</v>
      </c>
      <c r="C6" s="19">
        <f>SUM(C7:C14)</f>
        <v>64</v>
      </c>
      <c r="D6" s="19">
        <f t="shared" ref="D6:P6" si="0">SUM(D7:D14)</f>
        <v>0</v>
      </c>
      <c r="E6" s="19">
        <f t="shared" si="0"/>
        <v>26</v>
      </c>
      <c r="F6" s="19">
        <f t="shared" si="0"/>
        <v>0</v>
      </c>
      <c r="G6" s="19">
        <f t="shared" si="0"/>
        <v>38</v>
      </c>
      <c r="H6" s="19">
        <f t="shared" si="0"/>
        <v>0</v>
      </c>
      <c r="I6" s="19">
        <f t="shared" si="0"/>
        <v>0</v>
      </c>
      <c r="J6" s="19">
        <f t="shared" si="0"/>
        <v>0</v>
      </c>
      <c r="K6" s="19">
        <f t="shared" si="0"/>
        <v>0</v>
      </c>
      <c r="L6" s="19">
        <f t="shared" si="0"/>
        <v>0</v>
      </c>
      <c r="M6" s="19">
        <f t="shared" si="0"/>
        <v>0</v>
      </c>
      <c r="N6" s="19">
        <f t="shared" si="0"/>
        <v>0</v>
      </c>
      <c r="O6" s="19">
        <f t="shared" si="0"/>
        <v>0</v>
      </c>
      <c r="P6" s="19">
        <f t="shared" si="0"/>
        <v>0</v>
      </c>
    </row>
    <row r="7" spans="2:16" s="58" customFormat="1" ht="23.45" customHeight="1" thickBot="1" x14ac:dyDescent="0.3">
      <c r="B7" s="12" t="s">
        <v>127</v>
      </c>
      <c r="C7" s="20">
        <f>SUM(E7,G7,I7,K7,M7,O7)</f>
        <v>0</v>
      </c>
      <c r="D7" s="20">
        <f>SUM(F7,H7,J7,L7,N7,P7)</f>
        <v>0</v>
      </c>
      <c r="E7" s="5">
        <v>0</v>
      </c>
      <c r="F7" s="48">
        <v>0</v>
      </c>
      <c r="G7" s="5">
        <v>0</v>
      </c>
      <c r="H7" s="48">
        <v>0</v>
      </c>
      <c r="I7" s="5">
        <v>0</v>
      </c>
      <c r="J7" s="48">
        <v>0</v>
      </c>
      <c r="K7" s="5">
        <v>0</v>
      </c>
      <c r="L7" s="48">
        <v>0</v>
      </c>
      <c r="M7" s="5">
        <v>0</v>
      </c>
      <c r="N7" s="48">
        <v>0</v>
      </c>
      <c r="O7" s="5">
        <v>0</v>
      </c>
      <c r="P7" s="48">
        <v>0</v>
      </c>
    </row>
    <row r="8" spans="2:16" s="58" customFormat="1" ht="23.45" customHeight="1" thickBot="1" x14ac:dyDescent="0.3">
      <c r="B8" s="12" t="s">
        <v>128</v>
      </c>
      <c r="C8" s="20">
        <f t="shared" ref="C8:D22" si="1">SUM(E8,G8,I8,K8,M8,O8)</f>
        <v>8</v>
      </c>
      <c r="D8" s="49">
        <f t="shared" si="1"/>
        <v>0</v>
      </c>
      <c r="E8" s="5">
        <v>3</v>
      </c>
      <c r="F8" s="48">
        <v>0</v>
      </c>
      <c r="G8" s="5">
        <v>5</v>
      </c>
      <c r="H8" s="48">
        <v>0</v>
      </c>
      <c r="I8" s="5">
        <v>0</v>
      </c>
      <c r="J8" s="48">
        <v>0</v>
      </c>
      <c r="K8" s="5">
        <v>0</v>
      </c>
      <c r="L8" s="48">
        <v>0</v>
      </c>
      <c r="M8" s="5">
        <v>0</v>
      </c>
      <c r="N8" s="48">
        <v>0</v>
      </c>
      <c r="O8" s="5">
        <v>0</v>
      </c>
      <c r="P8" s="48">
        <v>0</v>
      </c>
    </row>
    <row r="9" spans="2:16" s="58" customFormat="1" ht="23.45" customHeight="1" thickBot="1" x14ac:dyDescent="0.3">
      <c r="B9" s="4" t="s">
        <v>129</v>
      </c>
      <c r="C9" s="20">
        <f t="shared" si="1"/>
        <v>0</v>
      </c>
      <c r="D9" s="49">
        <f t="shared" si="1"/>
        <v>0</v>
      </c>
      <c r="E9" s="5">
        <v>0</v>
      </c>
      <c r="F9" s="48">
        <v>0</v>
      </c>
      <c r="G9" s="5">
        <v>0</v>
      </c>
      <c r="H9" s="48">
        <v>0</v>
      </c>
      <c r="I9" s="5">
        <v>0</v>
      </c>
      <c r="J9" s="48">
        <v>0</v>
      </c>
      <c r="K9" s="5">
        <v>0</v>
      </c>
      <c r="L9" s="48">
        <v>0</v>
      </c>
      <c r="M9" s="5">
        <v>0</v>
      </c>
      <c r="N9" s="48">
        <v>0</v>
      </c>
      <c r="O9" s="5">
        <v>0</v>
      </c>
      <c r="P9" s="48">
        <v>0</v>
      </c>
    </row>
    <row r="10" spans="2:16" s="58" customFormat="1" ht="36" customHeight="1" thickBot="1" x14ac:dyDescent="0.3">
      <c r="B10" s="12" t="s">
        <v>130</v>
      </c>
      <c r="C10" s="20">
        <f t="shared" si="1"/>
        <v>0</v>
      </c>
      <c r="D10" s="49">
        <f t="shared" si="1"/>
        <v>0</v>
      </c>
      <c r="E10" s="5">
        <v>0</v>
      </c>
      <c r="F10" s="48">
        <v>0</v>
      </c>
      <c r="G10" s="5">
        <v>0</v>
      </c>
      <c r="H10" s="48">
        <v>0</v>
      </c>
      <c r="I10" s="5">
        <v>0</v>
      </c>
      <c r="J10" s="48">
        <v>0</v>
      </c>
      <c r="K10" s="5">
        <v>0</v>
      </c>
      <c r="L10" s="48">
        <v>0</v>
      </c>
      <c r="M10" s="5">
        <v>0</v>
      </c>
      <c r="N10" s="48">
        <v>0</v>
      </c>
      <c r="O10" s="5">
        <v>0</v>
      </c>
      <c r="P10" s="48">
        <v>0</v>
      </c>
    </row>
    <row r="11" spans="2:16" s="58" customFormat="1" ht="21.6" customHeight="1" thickBot="1" x14ac:dyDescent="0.3">
      <c r="B11" s="4" t="s">
        <v>131</v>
      </c>
      <c r="C11" s="20">
        <f t="shared" si="1"/>
        <v>30</v>
      </c>
      <c r="D11" s="49">
        <f t="shared" si="1"/>
        <v>0</v>
      </c>
      <c r="E11" s="5">
        <v>5</v>
      </c>
      <c r="F11" s="48">
        <v>0</v>
      </c>
      <c r="G11" s="5">
        <v>25</v>
      </c>
      <c r="H11" s="48">
        <v>0</v>
      </c>
      <c r="I11" s="5">
        <v>0</v>
      </c>
      <c r="J11" s="48">
        <v>0</v>
      </c>
      <c r="K11" s="5">
        <v>0</v>
      </c>
      <c r="L11" s="48">
        <v>0</v>
      </c>
      <c r="M11" s="5">
        <v>0</v>
      </c>
      <c r="N11" s="48">
        <v>0</v>
      </c>
      <c r="O11" s="5">
        <v>0</v>
      </c>
      <c r="P11" s="48">
        <v>0</v>
      </c>
    </row>
    <row r="12" spans="2:16" s="58" customFormat="1" ht="21.6" customHeight="1" thickBot="1" x14ac:dyDescent="0.3">
      <c r="B12" s="4" t="s">
        <v>132</v>
      </c>
      <c r="C12" s="20">
        <f t="shared" si="1"/>
        <v>9</v>
      </c>
      <c r="D12" s="49">
        <f t="shared" si="1"/>
        <v>0</v>
      </c>
      <c r="E12" s="5">
        <v>6</v>
      </c>
      <c r="F12" s="48">
        <v>0</v>
      </c>
      <c r="G12" s="5">
        <v>3</v>
      </c>
      <c r="H12" s="48">
        <v>0</v>
      </c>
      <c r="I12" s="5">
        <v>0</v>
      </c>
      <c r="J12" s="48">
        <v>0</v>
      </c>
      <c r="K12" s="5">
        <v>0</v>
      </c>
      <c r="L12" s="48">
        <v>0</v>
      </c>
      <c r="M12" s="5">
        <v>0</v>
      </c>
      <c r="N12" s="48">
        <v>0</v>
      </c>
      <c r="O12" s="5">
        <v>0</v>
      </c>
      <c r="P12" s="48">
        <v>0</v>
      </c>
    </row>
    <row r="13" spans="2:16" s="58" customFormat="1" ht="21.6" customHeight="1" thickBot="1" x14ac:dyDescent="0.3">
      <c r="B13" s="4" t="s">
        <v>133</v>
      </c>
      <c r="C13" s="20">
        <f t="shared" si="1"/>
        <v>17</v>
      </c>
      <c r="D13" s="49">
        <f t="shared" si="1"/>
        <v>0</v>
      </c>
      <c r="E13" s="5">
        <v>12</v>
      </c>
      <c r="F13" s="48">
        <v>0</v>
      </c>
      <c r="G13" s="5">
        <v>5</v>
      </c>
      <c r="H13" s="48">
        <v>0</v>
      </c>
      <c r="I13" s="5">
        <v>0</v>
      </c>
      <c r="J13" s="48">
        <v>0</v>
      </c>
      <c r="K13" s="5">
        <v>0</v>
      </c>
      <c r="L13" s="48">
        <v>0</v>
      </c>
      <c r="M13" s="5">
        <v>0</v>
      </c>
      <c r="N13" s="48">
        <v>0</v>
      </c>
      <c r="O13" s="5">
        <v>0</v>
      </c>
      <c r="P13" s="48">
        <v>0</v>
      </c>
    </row>
    <row r="14" spans="2:16" s="58" customFormat="1" ht="48" customHeight="1" thickBot="1" x14ac:dyDescent="0.3">
      <c r="B14" s="4" t="s">
        <v>134</v>
      </c>
      <c r="C14" s="20">
        <f t="shared" si="1"/>
        <v>0</v>
      </c>
      <c r="D14" s="49">
        <f t="shared" si="1"/>
        <v>0</v>
      </c>
      <c r="E14" s="5">
        <v>0</v>
      </c>
      <c r="F14" s="48">
        <v>0</v>
      </c>
      <c r="G14" s="5">
        <v>0</v>
      </c>
      <c r="H14" s="48">
        <v>0</v>
      </c>
      <c r="I14" s="5">
        <v>0</v>
      </c>
      <c r="J14" s="48">
        <v>0</v>
      </c>
      <c r="K14" s="5">
        <v>0</v>
      </c>
      <c r="L14" s="48">
        <v>0</v>
      </c>
      <c r="M14" s="5">
        <v>0</v>
      </c>
      <c r="N14" s="48">
        <v>0</v>
      </c>
      <c r="O14" s="5">
        <v>0</v>
      </c>
      <c r="P14" s="48">
        <v>0</v>
      </c>
    </row>
    <row r="15" spans="2:16" s="58" customFormat="1" ht="43.9" customHeight="1" thickBot="1" x14ac:dyDescent="0.3">
      <c r="B15" s="13" t="s">
        <v>135</v>
      </c>
      <c r="C15" s="19">
        <f>SUM(C16:C22)</f>
        <v>83</v>
      </c>
      <c r="D15" s="19">
        <f t="shared" ref="D15:P15" si="2">SUM(D16:D22)</f>
        <v>0</v>
      </c>
      <c r="E15" s="19">
        <f t="shared" si="2"/>
        <v>28</v>
      </c>
      <c r="F15" s="19">
        <f t="shared" si="2"/>
        <v>0</v>
      </c>
      <c r="G15" s="19">
        <f t="shared" si="2"/>
        <v>48</v>
      </c>
      <c r="H15" s="19">
        <f t="shared" si="2"/>
        <v>0</v>
      </c>
      <c r="I15" s="19">
        <f t="shared" si="2"/>
        <v>0</v>
      </c>
      <c r="J15" s="19">
        <f t="shared" si="2"/>
        <v>0</v>
      </c>
      <c r="K15" s="19">
        <f t="shared" si="2"/>
        <v>7</v>
      </c>
      <c r="L15" s="19">
        <f t="shared" si="2"/>
        <v>0</v>
      </c>
      <c r="M15" s="19">
        <f t="shared" si="2"/>
        <v>0</v>
      </c>
      <c r="N15" s="19">
        <f t="shared" si="2"/>
        <v>0</v>
      </c>
      <c r="O15" s="19">
        <f t="shared" si="2"/>
        <v>0</v>
      </c>
      <c r="P15" s="19">
        <f t="shared" si="2"/>
        <v>0</v>
      </c>
    </row>
    <row r="16" spans="2:16" s="58" customFormat="1" ht="62.45" customHeight="1" thickBot="1" x14ac:dyDescent="0.3">
      <c r="B16" s="4" t="s">
        <v>136</v>
      </c>
      <c r="C16" s="20">
        <f t="shared" si="1"/>
        <v>19</v>
      </c>
      <c r="D16" s="49">
        <f t="shared" si="1"/>
        <v>0</v>
      </c>
      <c r="E16" s="5">
        <v>7</v>
      </c>
      <c r="F16" s="48">
        <v>0</v>
      </c>
      <c r="G16" s="5">
        <v>11</v>
      </c>
      <c r="H16" s="48">
        <v>0</v>
      </c>
      <c r="I16" s="5">
        <v>0</v>
      </c>
      <c r="J16" s="48">
        <v>0</v>
      </c>
      <c r="K16" s="5">
        <v>1</v>
      </c>
      <c r="L16" s="48">
        <v>0</v>
      </c>
      <c r="M16" s="5">
        <v>0</v>
      </c>
      <c r="N16" s="48">
        <v>0</v>
      </c>
      <c r="O16" s="5">
        <v>0</v>
      </c>
      <c r="P16" s="48">
        <v>0</v>
      </c>
    </row>
    <row r="17" spans="2:16" s="58" customFormat="1" ht="72" customHeight="1" thickBot="1" x14ac:dyDescent="0.3">
      <c r="B17" s="4" t="s">
        <v>138</v>
      </c>
      <c r="C17" s="20">
        <f t="shared" si="1"/>
        <v>1</v>
      </c>
      <c r="D17" s="49">
        <f t="shared" si="1"/>
        <v>0</v>
      </c>
      <c r="E17" s="5">
        <v>0</v>
      </c>
      <c r="F17" s="48">
        <v>0</v>
      </c>
      <c r="G17" s="5">
        <v>1</v>
      </c>
      <c r="H17" s="48">
        <v>0</v>
      </c>
      <c r="I17" s="5">
        <v>0</v>
      </c>
      <c r="J17" s="48">
        <v>0</v>
      </c>
      <c r="K17" s="5">
        <v>0</v>
      </c>
      <c r="L17" s="48">
        <v>0</v>
      </c>
      <c r="M17" s="5">
        <v>0</v>
      </c>
      <c r="N17" s="48">
        <v>0</v>
      </c>
      <c r="O17" s="5">
        <v>0</v>
      </c>
      <c r="P17" s="48">
        <v>0</v>
      </c>
    </row>
    <row r="18" spans="2:16" s="58" customFormat="1" ht="47.45" customHeight="1" thickBot="1" x14ac:dyDescent="0.3">
      <c r="B18" s="4" t="s">
        <v>139</v>
      </c>
      <c r="C18" s="20">
        <f t="shared" si="1"/>
        <v>1</v>
      </c>
      <c r="D18" s="49">
        <f t="shared" si="1"/>
        <v>0</v>
      </c>
      <c r="E18" s="5">
        <v>0</v>
      </c>
      <c r="F18" s="48">
        <v>0</v>
      </c>
      <c r="G18" s="5">
        <v>0</v>
      </c>
      <c r="H18" s="48">
        <v>0</v>
      </c>
      <c r="I18" s="5">
        <v>0</v>
      </c>
      <c r="J18" s="48">
        <v>0</v>
      </c>
      <c r="K18" s="5">
        <v>1</v>
      </c>
      <c r="L18" s="48">
        <v>0</v>
      </c>
      <c r="M18" s="5">
        <v>0</v>
      </c>
      <c r="N18" s="48">
        <v>0</v>
      </c>
      <c r="O18" s="5">
        <v>0</v>
      </c>
      <c r="P18" s="48">
        <v>0</v>
      </c>
    </row>
    <row r="19" spans="2:16" s="58" customFormat="1" ht="59.45" customHeight="1" thickBot="1" x14ac:dyDescent="0.3">
      <c r="B19" s="4" t="s">
        <v>140</v>
      </c>
      <c r="C19" s="20">
        <f t="shared" si="1"/>
        <v>0</v>
      </c>
      <c r="D19" s="49">
        <f t="shared" si="1"/>
        <v>0</v>
      </c>
      <c r="E19" s="5">
        <v>0</v>
      </c>
      <c r="F19" s="48">
        <v>0</v>
      </c>
      <c r="G19" s="5">
        <v>0</v>
      </c>
      <c r="H19" s="48">
        <v>0</v>
      </c>
      <c r="I19" s="5">
        <v>0</v>
      </c>
      <c r="J19" s="48">
        <v>0</v>
      </c>
      <c r="K19" s="5">
        <v>0</v>
      </c>
      <c r="L19" s="48">
        <v>0</v>
      </c>
      <c r="M19" s="5">
        <v>0</v>
      </c>
      <c r="N19" s="48">
        <v>0</v>
      </c>
      <c r="O19" s="5">
        <v>0</v>
      </c>
      <c r="P19" s="48">
        <v>0</v>
      </c>
    </row>
    <row r="20" spans="2:16" s="58" customFormat="1" ht="45.6" customHeight="1" thickBot="1" x14ac:dyDescent="0.3">
      <c r="B20" s="4" t="s">
        <v>141</v>
      </c>
      <c r="C20" s="20">
        <f t="shared" si="1"/>
        <v>2</v>
      </c>
      <c r="D20" s="49">
        <f t="shared" si="1"/>
        <v>0</v>
      </c>
      <c r="E20" s="5">
        <v>0</v>
      </c>
      <c r="F20" s="48">
        <v>0</v>
      </c>
      <c r="G20" s="5">
        <v>1</v>
      </c>
      <c r="H20" s="48">
        <v>0</v>
      </c>
      <c r="I20" s="5">
        <v>0</v>
      </c>
      <c r="J20" s="48">
        <v>0</v>
      </c>
      <c r="K20" s="5">
        <v>1</v>
      </c>
      <c r="L20" s="48">
        <v>0</v>
      </c>
      <c r="M20" s="5">
        <v>0</v>
      </c>
      <c r="N20" s="48">
        <v>0</v>
      </c>
      <c r="O20" s="5">
        <v>0</v>
      </c>
      <c r="P20" s="48">
        <v>0</v>
      </c>
    </row>
    <row r="21" spans="2:16" s="58" customFormat="1" ht="36" customHeight="1" thickBot="1" x14ac:dyDescent="0.3">
      <c r="B21" s="4" t="s">
        <v>142</v>
      </c>
      <c r="C21" s="20">
        <f t="shared" si="1"/>
        <v>5</v>
      </c>
      <c r="D21" s="49">
        <f t="shared" si="1"/>
        <v>0</v>
      </c>
      <c r="E21" s="5">
        <v>5</v>
      </c>
      <c r="F21" s="48">
        <v>0</v>
      </c>
      <c r="G21" s="5">
        <v>0</v>
      </c>
      <c r="H21" s="48">
        <v>0</v>
      </c>
      <c r="I21" s="5">
        <v>0</v>
      </c>
      <c r="J21" s="48">
        <v>0</v>
      </c>
      <c r="K21" s="5">
        <v>0</v>
      </c>
      <c r="L21" s="48">
        <v>0</v>
      </c>
      <c r="M21" s="5">
        <v>0</v>
      </c>
      <c r="N21" s="48">
        <v>0</v>
      </c>
      <c r="O21" s="5">
        <v>0</v>
      </c>
      <c r="P21" s="48">
        <v>0</v>
      </c>
    </row>
    <row r="22" spans="2:16" s="58" customFormat="1" ht="28.5" customHeight="1" thickBot="1" x14ac:dyDescent="0.3">
      <c r="B22" s="4" t="s">
        <v>137</v>
      </c>
      <c r="C22" s="20">
        <f t="shared" si="1"/>
        <v>55</v>
      </c>
      <c r="D22" s="49">
        <f t="shared" si="1"/>
        <v>0</v>
      </c>
      <c r="E22" s="5">
        <v>16</v>
      </c>
      <c r="F22" s="48">
        <v>0</v>
      </c>
      <c r="G22" s="5">
        <v>35</v>
      </c>
      <c r="H22" s="48">
        <v>0</v>
      </c>
      <c r="I22" s="5">
        <v>0</v>
      </c>
      <c r="J22" s="48">
        <v>0</v>
      </c>
      <c r="K22" s="5">
        <v>4</v>
      </c>
      <c r="L22" s="48">
        <v>0</v>
      </c>
      <c r="M22" s="5">
        <v>0</v>
      </c>
      <c r="N22" s="48">
        <v>0</v>
      </c>
      <c r="O22" s="5">
        <v>0</v>
      </c>
      <c r="P22" s="48">
        <v>0</v>
      </c>
    </row>
    <row r="23" spans="2:16" s="58" customFormat="1" ht="25.9" customHeight="1" thickBot="1" x14ac:dyDescent="0.3">
      <c r="B23" s="13" t="s">
        <v>143</v>
      </c>
      <c r="C23" s="19">
        <f>SUM(C24:C26)</f>
        <v>9</v>
      </c>
      <c r="D23" s="19">
        <f t="shared" ref="D23:P23" si="3">SUM(D24:D26)</f>
        <v>0</v>
      </c>
      <c r="E23" s="19">
        <f t="shared" si="3"/>
        <v>0</v>
      </c>
      <c r="F23" s="19">
        <f t="shared" si="3"/>
        <v>0</v>
      </c>
      <c r="G23" s="19">
        <f t="shared" si="3"/>
        <v>7</v>
      </c>
      <c r="H23" s="19">
        <f t="shared" si="3"/>
        <v>0</v>
      </c>
      <c r="I23" s="19">
        <f t="shared" si="3"/>
        <v>1</v>
      </c>
      <c r="J23" s="19">
        <f t="shared" si="3"/>
        <v>0</v>
      </c>
      <c r="K23" s="19">
        <f t="shared" si="3"/>
        <v>1</v>
      </c>
      <c r="L23" s="19">
        <f t="shared" si="3"/>
        <v>0</v>
      </c>
      <c r="M23" s="19">
        <f t="shared" si="3"/>
        <v>0</v>
      </c>
      <c r="N23" s="19">
        <f t="shared" si="3"/>
        <v>0</v>
      </c>
      <c r="O23" s="19">
        <f t="shared" si="3"/>
        <v>0</v>
      </c>
      <c r="P23" s="19">
        <f t="shared" si="3"/>
        <v>0</v>
      </c>
    </row>
    <row r="24" spans="2:16" s="58" customFormat="1" ht="24.6" customHeight="1" thickBot="1" x14ac:dyDescent="0.3">
      <c r="B24" s="4" t="s">
        <v>144</v>
      </c>
      <c r="C24" s="20">
        <f t="shared" ref="C24:D40" si="4">SUM(E24,G24,I24,K24,M24,O24)</f>
        <v>1</v>
      </c>
      <c r="D24" s="49">
        <f t="shared" si="4"/>
        <v>0</v>
      </c>
      <c r="E24" s="5">
        <v>0</v>
      </c>
      <c r="F24" s="48">
        <v>0</v>
      </c>
      <c r="G24" s="5">
        <v>1</v>
      </c>
      <c r="H24" s="48">
        <v>0</v>
      </c>
      <c r="I24" s="5">
        <v>0</v>
      </c>
      <c r="J24" s="48">
        <v>0</v>
      </c>
      <c r="K24" s="5">
        <v>0</v>
      </c>
      <c r="L24" s="48">
        <v>0</v>
      </c>
      <c r="M24" s="5">
        <v>0</v>
      </c>
      <c r="N24" s="48">
        <v>0</v>
      </c>
      <c r="O24" s="5">
        <v>0</v>
      </c>
      <c r="P24" s="48">
        <v>0</v>
      </c>
    </row>
    <row r="25" spans="2:16" s="58" customFormat="1" ht="37.5" customHeight="1" thickBot="1" x14ac:dyDescent="0.3">
      <c r="B25" s="4" t="s">
        <v>146</v>
      </c>
      <c r="C25" s="20">
        <f t="shared" si="4"/>
        <v>8</v>
      </c>
      <c r="D25" s="49">
        <f>SUM(F25,H25,J25,L25,N25,P25)</f>
        <v>0</v>
      </c>
      <c r="E25" s="5">
        <v>0</v>
      </c>
      <c r="F25" s="48">
        <v>0</v>
      </c>
      <c r="G25" s="5">
        <v>6</v>
      </c>
      <c r="H25" s="48">
        <v>0</v>
      </c>
      <c r="I25" s="5">
        <v>1</v>
      </c>
      <c r="J25" s="48">
        <v>0</v>
      </c>
      <c r="K25" s="5">
        <v>1</v>
      </c>
      <c r="L25" s="48">
        <v>0</v>
      </c>
      <c r="M25" s="5">
        <v>0</v>
      </c>
      <c r="N25" s="48">
        <v>0</v>
      </c>
      <c r="O25" s="5">
        <v>0</v>
      </c>
      <c r="P25" s="48">
        <v>0</v>
      </c>
    </row>
    <row r="26" spans="2:16" s="58" customFormat="1" ht="25.15" customHeight="1" thickBot="1" x14ac:dyDescent="0.3">
      <c r="B26" s="12" t="s">
        <v>145</v>
      </c>
      <c r="C26" s="20">
        <f t="shared" si="4"/>
        <v>0</v>
      </c>
      <c r="D26" s="49">
        <f t="shared" si="4"/>
        <v>0</v>
      </c>
      <c r="E26" s="5">
        <v>0</v>
      </c>
      <c r="F26" s="48">
        <v>0</v>
      </c>
      <c r="G26" s="5">
        <v>0</v>
      </c>
      <c r="H26" s="48">
        <v>0</v>
      </c>
      <c r="I26" s="5">
        <v>0</v>
      </c>
      <c r="J26" s="48">
        <v>0</v>
      </c>
      <c r="K26" s="5">
        <v>0</v>
      </c>
      <c r="L26" s="48">
        <v>0</v>
      </c>
      <c r="M26" s="5">
        <v>0</v>
      </c>
      <c r="N26" s="48">
        <v>0</v>
      </c>
      <c r="O26" s="5">
        <v>0</v>
      </c>
      <c r="P26" s="48">
        <v>0</v>
      </c>
    </row>
    <row r="27" spans="2:16" s="58" customFormat="1" ht="36" customHeight="1" thickBot="1" x14ac:dyDescent="0.3">
      <c r="B27" s="13" t="s">
        <v>147</v>
      </c>
      <c r="C27" s="19">
        <f>SUM(C28:C30)</f>
        <v>0</v>
      </c>
      <c r="D27" s="19">
        <f t="shared" ref="D27:P27" si="5">SUM(D28:D30)</f>
        <v>0</v>
      </c>
      <c r="E27" s="19">
        <f t="shared" si="5"/>
        <v>0</v>
      </c>
      <c r="F27" s="19">
        <f t="shared" si="5"/>
        <v>0</v>
      </c>
      <c r="G27" s="19">
        <f t="shared" si="5"/>
        <v>0</v>
      </c>
      <c r="H27" s="19">
        <f t="shared" si="5"/>
        <v>0</v>
      </c>
      <c r="I27" s="19">
        <f t="shared" si="5"/>
        <v>0</v>
      </c>
      <c r="J27" s="19">
        <f t="shared" si="5"/>
        <v>0</v>
      </c>
      <c r="K27" s="19">
        <f t="shared" si="5"/>
        <v>0</v>
      </c>
      <c r="L27" s="19">
        <f t="shared" si="5"/>
        <v>0</v>
      </c>
      <c r="M27" s="19">
        <f t="shared" si="5"/>
        <v>0</v>
      </c>
      <c r="N27" s="19">
        <f t="shared" si="5"/>
        <v>0</v>
      </c>
      <c r="O27" s="19">
        <f t="shared" si="5"/>
        <v>0</v>
      </c>
      <c r="P27" s="19">
        <f t="shared" si="5"/>
        <v>0</v>
      </c>
    </row>
    <row r="28" spans="2:16" s="58" customFormat="1" ht="44.45" customHeight="1" thickBot="1" x14ac:dyDescent="0.3">
      <c r="B28" s="4" t="s">
        <v>149</v>
      </c>
      <c r="C28" s="20">
        <f t="shared" si="4"/>
        <v>0</v>
      </c>
      <c r="D28" s="49">
        <f t="shared" si="4"/>
        <v>0</v>
      </c>
      <c r="E28" s="5">
        <v>0</v>
      </c>
      <c r="F28" s="48">
        <v>0</v>
      </c>
      <c r="G28" s="5">
        <v>0</v>
      </c>
      <c r="H28" s="48">
        <v>0</v>
      </c>
      <c r="I28" s="5">
        <v>0</v>
      </c>
      <c r="J28" s="48">
        <v>0</v>
      </c>
      <c r="K28" s="5">
        <v>0</v>
      </c>
      <c r="L28" s="48">
        <v>0</v>
      </c>
      <c r="M28" s="5">
        <v>0</v>
      </c>
      <c r="N28" s="48">
        <v>0</v>
      </c>
      <c r="O28" s="5">
        <v>0</v>
      </c>
      <c r="P28" s="48">
        <v>0</v>
      </c>
    </row>
    <row r="29" spans="2:16" s="58" customFormat="1" ht="53.45" customHeight="1" thickBot="1" x14ac:dyDescent="0.3">
      <c r="B29" s="4" t="s">
        <v>150</v>
      </c>
      <c r="C29" s="20">
        <f t="shared" si="4"/>
        <v>0</v>
      </c>
      <c r="D29" s="49">
        <f t="shared" si="4"/>
        <v>0</v>
      </c>
      <c r="E29" s="5">
        <v>0</v>
      </c>
      <c r="F29" s="48">
        <v>0</v>
      </c>
      <c r="G29" s="5">
        <v>0</v>
      </c>
      <c r="H29" s="48">
        <v>0</v>
      </c>
      <c r="I29" s="5">
        <v>0</v>
      </c>
      <c r="J29" s="48">
        <v>0</v>
      </c>
      <c r="K29" s="5">
        <v>0</v>
      </c>
      <c r="L29" s="48">
        <v>0</v>
      </c>
      <c r="M29" s="5">
        <v>0</v>
      </c>
      <c r="N29" s="48">
        <v>0</v>
      </c>
      <c r="O29" s="5">
        <v>0</v>
      </c>
      <c r="P29" s="48">
        <v>0</v>
      </c>
    </row>
    <row r="30" spans="2:16" s="58" customFormat="1" ht="23.45" customHeight="1" thickBot="1" x14ac:dyDescent="0.3">
      <c r="B30" s="4" t="s">
        <v>148</v>
      </c>
      <c r="C30" s="20">
        <f t="shared" si="4"/>
        <v>0</v>
      </c>
      <c r="D30" s="49">
        <f t="shared" si="4"/>
        <v>0</v>
      </c>
      <c r="E30" s="5">
        <v>0</v>
      </c>
      <c r="F30" s="48">
        <v>0</v>
      </c>
      <c r="G30" s="5">
        <v>0</v>
      </c>
      <c r="H30" s="48">
        <v>0</v>
      </c>
      <c r="I30" s="5">
        <v>0</v>
      </c>
      <c r="J30" s="48">
        <v>0</v>
      </c>
      <c r="K30" s="5">
        <v>0</v>
      </c>
      <c r="L30" s="48">
        <v>0</v>
      </c>
      <c r="M30" s="5">
        <v>0</v>
      </c>
      <c r="N30" s="48">
        <v>0</v>
      </c>
      <c r="O30" s="5">
        <v>0</v>
      </c>
      <c r="P30" s="48">
        <v>0</v>
      </c>
    </row>
    <row r="31" spans="2:16" s="58" customFormat="1" ht="36" customHeight="1" thickBot="1" x14ac:dyDescent="0.3">
      <c r="B31" s="13" t="s">
        <v>151</v>
      </c>
      <c r="C31" s="19">
        <f>SUM(C32)</f>
        <v>8</v>
      </c>
      <c r="D31" s="19">
        <f t="shared" ref="D31:P31" si="6">SUM(D32)</f>
        <v>0</v>
      </c>
      <c r="E31" s="19">
        <f t="shared" si="6"/>
        <v>4</v>
      </c>
      <c r="F31" s="19">
        <f t="shared" si="6"/>
        <v>0</v>
      </c>
      <c r="G31" s="19">
        <f t="shared" si="6"/>
        <v>4</v>
      </c>
      <c r="H31" s="19">
        <f t="shared" si="6"/>
        <v>0</v>
      </c>
      <c r="I31" s="19">
        <f t="shared" si="6"/>
        <v>0</v>
      </c>
      <c r="J31" s="19">
        <f t="shared" si="6"/>
        <v>0</v>
      </c>
      <c r="K31" s="19">
        <f t="shared" si="6"/>
        <v>0</v>
      </c>
      <c r="L31" s="19">
        <f t="shared" si="6"/>
        <v>0</v>
      </c>
      <c r="M31" s="19">
        <f t="shared" si="6"/>
        <v>0</v>
      </c>
      <c r="N31" s="19">
        <f t="shared" si="6"/>
        <v>0</v>
      </c>
      <c r="O31" s="19">
        <f t="shared" si="6"/>
        <v>0</v>
      </c>
      <c r="P31" s="19">
        <f t="shared" si="6"/>
        <v>0</v>
      </c>
    </row>
    <row r="32" spans="2:16" s="58" customFormat="1" ht="86.45" customHeight="1" thickBot="1" x14ac:dyDescent="0.3">
      <c r="B32" s="4" t="s">
        <v>152</v>
      </c>
      <c r="C32" s="20">
        <f t="shared" si="4"/>
        <v>8</v>
      </c>
      <c r="D32" s="49">
        <f t="shared" si="4"/>
        <v>0</v>
      </c>
      <c r="E32" s="5">
        <v>4</v>
      </c>
      <c r="F32" s="48">
        <v>0</v>
      </c>
      <c r="G32" s="5">
        <v>4</v>
      </c>
      <c r="H32" s="48">
        <v>0</v>
      </c>
      <c r="I32" s="5">
        <v>0</v>
      </c>
      <c r="J32" s="48">
        <v>0</v>
      </c>
      <c r="K32" s="5">
        <v>0</v>
      </c>
      <c r="L32" s="48">
        <v>0</v>
      </c>
      <c r="M32" s="5">
        <v>0</v>
      </c>
      <c r="N32" s="48">
        <v>0</v>
      </c>
      <c r="O32" s="5">
        <v>0</v>
      </c>
      <c r="P32" s="48">
        <v>0</v>
      </c>
    </row>
    <row r="33" spans="2:16" s="58" customFormat="1" ht="59.45" customHeight="1" thickBot="1" x14ac:dyDescent="0.3">
      <c r="B33" s="13" t="s">
        <v>153</v>
      </c>
      <c r="C33" s="19">
        <f>SUM(C34:C36)</f>
        <v>0</v>
      </c>
      <c r="D33" s="19">
        <f t="shared" ref="D33:P33" si="7">SUM(D34:D36)</f>
        <v>0</v>
      </c>
      <c r="E33" s="19">
        <f t="shared" si="7"/>
        <v>0</v>
      </c>
      <c r="F33" s="19">
        <f t="shared" si="7"/>
        <v>0</v>
      </c>
      <c r="G33" s="19">
        <f t="shared" si="7"/>
        <v>0</v>
      </c>
      <c r="H33" s="19">
        <f t="shared" si="7"/>
        <v>0</v>
      </c>
      <c r="I33" s="19">
        <f t="shared" si="7"/>
        <v>0</v>
      </c>
      <c r="J33" s="19">
        <f t="shared" si="7"/>
        <v>0</v>
      </c>
      <c r="K33" s="19">
        <f t="shared" si="7"/>
        <v>0</v>
      </c>
      <c r="L33" s="19">
        <f t="shared" si="7"/>
        <v>0</v>
      </c>
      <c r="M33" s="19">
        <f t="shared" si="7"/>
        <v>0</v>
      </c>
      <c r="N33" s="19">
        <f t="shared" si="7"/>
        <v>0</v>
      </c>
      <c r="O33" s="19">
        <f t="shared" si="7"/>
        <v>0</v>
      </c>
      <c r="P33" s="19">
        <f t="shared" si="7"/>
        <v>0</v>
      </c>
    </row>
    <row r="34" spans="2:16" s="58" customFormat="1" ht="106.9" customHeight="1" thickBot="1" x14ac:dyDescent="0.3">
      <c r="B34" s="12" t="s">
        <v>154</v>
      </c>
      <c r="C34" s="20">
        <f t="shared" si="4"/>
        <v>0</v>
      </c>
      <c r="D34" s="49">
        <f t="shared" si="4"/>
        <v>0</v>
      </c>
      <c r="E34" s="5">
        <v>0</v>
      </c>
      <c r="F34" s="48">
        <v>0</v>
      </c>
      <c r="G34" s="5">
        <v>0</v>
      </c>
      <c r="H34" s="48">
        <v>0</v>
      </c>
      <c r="I34" s="5">
        <v>0</v>
      </c>
      <c r="J34" s="48">
        <v>0</v>
      </c>
      <c r="K34" s="5">
        <v>0</v>
      </c>
      <c r="L34" s="48">
        <v>0</v>
      </c>
      <c r="M34" s="5">
        <v>0</v>
      </c>
      <c r="N34" s="48">
        <v>0</v>
      </c>
      <c r="O34" s="5">
        <v>0</v>
      </c>
      <c r="P34" s="48">
        <v>0</v>
      </c>
    </row>
    <row r="35" spans="2:16" s="58" customFormat="1" ht="102.75" thickBot="1" x14ac:dyDescent="0.3">
      <c r="B35" s="4" t="s">
        <v>155</v>
      </c>
      <c r="C35" s="20">
        <f t="shared" si="4"/>
        <v>0</v>
      </c>
      <c r="D35" s="49">
        <f t="shared" si="4"/>
        <v>0</v>
      </c>
      <c r="E35" s="5">
        <v>0</v>
      </c>
      <c r="F35" s="48">
        <v>0</v>
      </c>
      <c r="G35" s="5">
        <v>0</v>
      </c>
      <c r="H35" s="48">
        <v>0</v>
      </c>
      <c r="I35" s="5">
        <v>0</v>
      </c>
      <c r="J35" s="48">
        <v>0</v>
      </c>
      <c r="K35" s="5">
        <v>0</v>
      </c>
      <c r="L35" s="48">
        <v>0</v>
      </c>
      <c r="M35" s="5">
        <v>0</v>
      </c>
      <c r="N35" s="48">
        <v>0</v>
      </c>
      <c r="O35" s="5">
        <v>0</v>
      </c>
      <c r="P35" s="48">
        <v>0</v>
      </c>
    </row>
    <row r="36" spans="2:16" s="58" customFormat="1" ht="49.9" customHeight="1" thickBot="1" x14ac:dyDescent="0.3">
      <c r="B36" s="4" t="s">
        <v>156</v>
      </c>
      <c r="C36" s="20">
        <f t="shared" si="4"/>
        <v>0</v>
      </c>
      <c r="D36" s="49">
        <f t="shared" si="4"/>
        <v>0</v>
      </c>
      <c r="E36" s="5">
        <v>0</v>
      </c>
      <c r="F36" s="48">
        <v>0</v>
      </c>
      <c r="G36" s="5">
        <v>0</v>
      </c>
      <c r="H36" s="48">
        <v>0</v>
      </c>
      <c r="I36" s="5">
        <v>0</v>
      </c>
      <c r="J36" s="48">
        <v>0</v>
      </c>
      <c r="K36" s="5">
        <v>0</v>
      </c>
      <c r="L36" s="48">
        <v>0</v>
      </c>
      <c r="M36" s="5">
        <v>0</v>
      </c>
      <c r="N36" s="48">
        <v>0</v>
      </c>
      <c r="O36" s="5">
        <v>0</v>
      </c>
      <c r="P36" s="48">
        <v>0</v>
      </c>
    </row>
    <row r="37" spans="2:16" s="58" customFormat="1" ht="36" customHeight="1" thickBot="1" x14ac:dyDescent="0.3">
      <c r="B37" s="13" t="s">
        <v>157</v>
      </c>
      <c r="C37" s="19">
        <f>SUM(C38)</f>
        <v>0</v>
      </c>
      <c r="D37" s="19">
        <f t="shared" ref="D37:P37" si="8">SUM(D38)</f>
        <v>0</v>
      </c>
      <c r="E37" s="19">
        <f t="shared" si="8"/>
        <v>0</v>
      </c>
      <c r="F37" s="19">
        <f t="shared" si="8"/>
        <v>0</v>
      </c>
      <c r="G37" s="19">
        <f t="shared" si="8"/>
        <v>0</v>
      </c>
      <c r="H37" s="19">
        <f t="shared" si="8"/>
        <v>0</v>
      </c>
      <c r="I37" s="19">
        <f t="shared" si="8"/>
        <v>0</v>
      </c>
      <c r="J37" s="19">
        <f t="shared" si="8"/>
        <v>0</v>
      </c>
      <c r="K37" s="19">
        <f t="shared" si="8"/>
        <v>0</v>
      </c>
      <c r="L37" s="19">
        <f t="shared" si="8"/>
        <v>0</v>
      </c>
      <c r="M37" s="19">
        <f t="shared" si="8"/>
        <v>0</v>
      </c>
      <c r="N37" s="19">
        <f t="shared" si="8"/>
        <v>0</v>
      </c>
      <c r="O37" s="19">
        <f t="shared" si="8"/>
        <v>0</v>
      </c>
      <c r="P37" s="19">
        <f t="shared" si="8"/>
        <v>0</v>
      </c>
    </row>
    <row r="38" spans="2:16" s="58" customFormat="1" ht="57" customHeight="1" thickBot="1" x14ac:dyDescent="0.3">
      <c r="B38" s="12" t="s">
        <v>158</v>
      </c>
      <c r="C38" s="20">
        <f t="shared" si="4"/>
        <v>0</v>
      </c>
      <c r="D38" s="20">
        <f t="shared" si="4"/>
        <v>0</v>
      </c>
      <c r="E38" s="5">
        <v>0</v>
      </c>
      <c r="F38" s="5">
        <v>0</v>
      </c>
      <c r="G38" s="5">
        <v>0</v>
      </c>
      <c r="H38" s="5">
        <v>0</v>
      </c>
      <c r="I38" s="5">
        <v>0</v>
      </c>
      <c r="J38" s="5">
        <v>0</v>
      </c>
      <c r="K38" s="5">
        <v>0</v>
      </c>
      <c r="L38" s="5">
        <v>0</v>
      </c>
      <c r="M38" s="5">
        <v>0</v>
      </c>
      <c r="N38" s="5">
        <v>0</v>
      </c>
      <c r="O38" s="5">
        <v>0</v>
      </c>
      <c r="P38" s="5">
        <v>0</v>
      </c>
    </row>
    <row r="39" spans="2:16" s="58" customFormat="1" ht="26.45" customHeight="1" thickBot="1" x14ac:dyDescent="0.3">
      <c r="B39" s="13" t="s">
        <v>159</v>
      </c>
      <c r="C39" s="19">
        <f>SUM(C40)</f>
        <v>0</v>
      </c>
      <c r="D39" s="19">
        <f t="shared" ref="D39:P39" si="9">SUM(D40)</f>
        <v>0</v>
      </c>
      <c r="E39" s="19">
        <f t="shared" si="9"/>
        <v>0</v>
      </c>
      <c r="F39" s="19">
        <f t="shared" si="9"/>
        <v>0</v>
      </c>
      <c r="G39" s="19">
        <f t="shared" si="9"/>
        <v>0</v>
      </c>
      <c r="H39" s="19">
        <f t="shared" si="9"/>
        <v>0</v>
      </c>
      <c r="I39" s="19">
        <f t="shared" si="9"/>
        <v>0</v>
      </c>
      <c r="J39" s="19">
        <f t="shared" si="9"/>
        <v>0</v>
      </c>
      <c r="K39" s="19">
        <f t="shared" si="9"/>
        <v>0</v>
      </c>
      <c r="L39" s="19">
        <f t="shared" si="9"/>
        <v>0</v>
      </c>
      <c r="M39" s="19">
        <f t="shared" si="9"/>
        <v>0</v>
      </c>
      <c r="N39" s="19">
        <f t="shared" si="9"/>
        <v>0</v>
      </c>
      <c r="O39" s="19">
        <f t="shared" si="9"/>
        <v>0</v>
      </c>
      <c r="P39" s="19">
        <f t="shared" si="9"/>
        <v>0</v>
      </c>
    </row>
    <row r="40" spans="2:16" s="58" customFormat="1" ht="25.15" customHeight="1" thickBot="1" x14ac:dyDescent="0.3">
      <c r="B40" s="4" t="s">
        <v>160</v>
      </c>
      <c r="C40" s="20">
        <f t="shared" si="4"/>
        <v>0</v>
      </c>
      <c r="D40" s="18">
        <f t="shared" si="4"/>
        <v>0</v>
      </c>
      <c r="E40" s="5">
        <v>0</v>
      </c>
      <c r="F40" s="5">
        <v>0</v>
      </c>
      <c r="G40" s="5">
        <v>0</v>
      </c>
      <c r="H40" s="5">
        <v>0</v>
      </c>
      <c r="I40" s="5">
        <v>0</v>
      </c>
      <c r="J40" s="5">
        <v>0</v>
      </c>
      <c r="K40" s="5">
        <v>0</v>
      </c>
      <c r="L40" s="5">
        <v>0</v>
      </c>
      <c r="M40" s="5">
        <v>0</v>
      </c>
      <c r="N40" s="5">
        <v>0</v>
      </c>
      <c r="O40" s="5">
        <v>0</v>
      </c>
      <c r="P40" s="5">
        <v>0</v>
      </c>
    </row>
    <row r="41" spans="2:16" ht="15.75" thickBot="1" x14ac:dyDescent="0.3">
      <c r="B41" s="72" t="s">
        <v>247</v>
      </c>
      <c r="C41" s="71">
        <f>SUM(C39+C37+C33+C31+C23+C15+C6+C27)</f>
        <v>164</v>
      </c>
      <c r="D41" s="71">
        <f t="shared" ref="D41:P41" si="10">SUM(D39+D37+D33+D31+D23+D15+D6+D27)</f>
        <v>0</v>
      </c>
      <c r="E41" s="71">
        <f t="shared" si="10"/>
        <v>58</v>
      </c>
      <c r="F41" s="71">
        <f t="shared" si="10"/>
        <v>0</v>
      </c>
      <c r="G41" s="71">
        <f t="shared" si="10"/>
        <v>97</v>
      </c>
      <c r="H41" s="71">
        <f t="shared" si="10"/>
        <v>0</v>
      </c>
      <c r="I41" s="71">
        <f t="shared" si="10"/>
        <v>1</v>
      </c>
      <c r="J41" s="71">
        <f t="shared" si="10"/>
        <v>0</v>
      </c>
      <c r="K41" s="71">
        <f t="shared" si="10"/>
        <v>8</v>
      </c>
      <c r="L41" s="71">
        <f t="shared" si="10"/>
        <v>0</v>
      </c>
      <c r="M41" s="71">
        <f t="shared" si="10"/>
        <v>0</v>
      </c>
      <c r="N41" s="71">
        <f t="shared" si="10"/>
        <v>0</v>
      </c>
      <c r="O41" s="71">
        <f t="shared" si="10"/>
        <v>0</v>
      </c>
      <c r="P41" s="71">
        <f t="shared" si="10"/>
        <v>0</v>
      </c>
    </row>
  </sheetData>
  <mergeCells count="10">
    <mergeCell ref="B2:B4"/>
    <mergeCell ref="C2:P2"/>
    <mergeCell ref="C3:D3"/>
    <mergeCell ref="B5:P5"/>
    <mergeCell ref="E3:F3"/>
    <mergeCell ref="G3:H3"/>
    <mergeCell ref="I3:J3"/>
    <mergeCell ref="K3:L3"/>
    <mergeCell ref="M3:N3"/>
    <mergeCell ref="O3:P3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D103"/>
  <sheetViews>
    <sheetView workbookViewId="0">
      <selection activeCell="B41" sqref="B41"/>
    </sheetView>
  </sheetViews>
  <sheetFormatPr defaultRowHeight="15" x14ac:dyDescent="0.25"/>
  <cols>
    <col min="2" max="2" width="22.140625" customWidth="1"/>
    <col min="3" max="4" width="15" customWidth="1"/>
  </cols>
  <sheetData>
    <row r="2" spans="2:4" ht="14.45" customHeight="1" x14ac:dyDescent="0.25">
      <c r="B2" s="220" t="s">
        <v>103</v>
      </c>
      <c r="C2" s="221" t="s">
        <v>15</v>
      </c>
      <c r="D2" s="222"/>
    </row>
    <row r="3" spans="2:4" ht="32.450000000000003" customHeight="1" x14ac:dyDescent="0.25">
      <c r="B3" s="220"/>
      <c r="C3" s="223"/>
      <c r="D3" s="224"/>
    </row>
    <row r="4" spans="2:4" ht="32.450000000000003" customHeight="1" x14ac:dyDescent="0.25">
      <c r="B4" s="220"/>
      <c r="C4" s="73" t="s">
        <v>124</v>
      </c>
      <c r="D4" s="73" t="s">
        <v>228</v>
      </c>
    </row>
    <row r="5" spans="2:4" x14ac:dyDescent="0.25">
      <c r="B5" s="59" t="s">
        <v>113</v>
      </c>
      <c r="C5" s="60">
        <f>SUM(C6:C16)</f>
        <v>21</v>
      </c>
      <c r="D5" s="60">
        <f>SUM(D6:D16)</f>
        <v>0</v>
      </c>
    </row>
    <row r="6" spans="2:4" ht="13.15" customHeight="1" x14ac:dyDescent="0.25">
      <c r="B6" s="61" t="s">
        <v>18</v>
      </c>
      <c r="C6" s="62">
        <v>3</v>
      </c>
      <c r="D6" s="62"/>
    </row>
    <row r="7" spans="2:4" ht="13.15" customHeight="1" x14ac:dyDescent="0.25">
      <c r="B7" s="61" t="s">
        <v>19</v>
      </c>
      <c r="C7" s="62">
        <v>3</v>
      </c>
      <c r="D7" s="62"/>
    </row>
    <row r="8" spans="2:4" ht="13.15" customHeight="1" x14ac:dyDescent="0.25">
      <c r="B8" s="61" t="s">
        <v>20</v>
      </c>
      <c r="C8" s="62">
        <v>3</v>
      </c>
      <c r="D8" s="62"/>
    </row>
    <row r="9" spans="2:4" ht="13.15" customHeight="1" x14ac:dyDescent="0.25">
      <c r="B9" s="61" t="s">
        <v>21</v>
      </c>
      <c r="C9" s="62">
        <v>2</v>
      </c>
      <c r="D9" s="62"/>
    </row>
    <row r="10" spans="2:4" ht="13.15" customHeight="1" x14ac:dyDescent="0.25">
      <c r="B10" s="61" t="s">
        <v>22</v>
      </c>
      <c r="C10" s="62">
        <v>4</v>
      </c>
      <c r="D10" s="62"/>
    </row>
    <row r="11" spans="2:4" ht="13.15" customHeight="1" x14ac:dyDescent="0.25">
      <c r="B11" s="61" t="s">
        <v>23</v>
      </c>
      <c r="C11" s="62">
        <v>2</v>
      </c>
      <c r="D11" s="62"/>
    </row>
    <row r="12" spans="2:4" ht="13.15" customHeight="1" x14ac:dyDescent="0.25">
      <c r="B12" s="61" t="s">
        <v>24</v>
      </c>
      <c r="C12" s="62">
        <v>2</v>
      </c>
      <c r="D12" s="62"/>
    </row>
    <row r="13" spans="2:4" ht="13.15" customHeight="1" x14ac:dyDescent="0.25">
      <c r="B13" s="61" t="s">
        <v>25</v>
      </c>
      <c r="C13" s="62">
        <v>0</v>
      </c>
      <c r="D13" s="62"/>
    </row>
    <row r="14" spans="2:4" ht="13.15" customHeight="1" x14ac:dyDescent="0.25">
      <c r="B14" s="61" t="s">
        <v>26</v>
      </c>
      <c r="C14" s="62">
        <v>2</v>
      </c>
      <c r="D14" s="62"/>
    </row>
    <row r="15" spans="2:4" ht="13.15" customHeight="1" x14ac:dyDescent="0.25">
      <c r="B15" s="61" t="s">
        <v>27</v>
      </c>
      <c r="C15" s="62">
        <v>0</v>
      </c>
      <c r="D15" s="62"/>
    </row>
    <row r="16" spans="2:4" ht="13.15" customHeight="1" x14ac:dyDescent="0.25">
      <c r="B16" s="61" t="s">
        <v>28</v>
      </c>
      <c r="C16" s="62">
        <v>0</v>
      </c>
      <c r="D16" s="62"/>
    </row>
    <row r="17" spans="2:4" ht="13.15" customHeight="1" x14ac:dyDescent="0.25">
      <c r="B17" s="63" t="s">
        <v>115</v>
      </c>
      <c r="C17" s="60">
        <f>SUM(C18:C27)</f>
        <v>20</v>
      </c>
      <c r="D17" s="60">
        <f>SUM(D18:D27)</f>
        <v>0</v>
      </c>
    </row>
    <row r="18" spans="2:4" ht="13.15" customHeight="1" x14ac:dyDescent="0.25">
      <c r="B18" s="61" t="s">
        <v>29</v>
      </c>
      <c r="C18" s="62">
        <v>0</v>
      </c>
      <c r="D18" s="62"/>
    </row>
    <row r="19" spans="2:4" ht="13.15" customHeight="1" x14ac:dyDescent="0.25">
      <c r="B19" s="61" t="s">
        <v>30</v>
      </c>
      <c r="C19" s="62">
        <v>0</v>
      </c>
      <c r="D19" s="62"/>
    </row>
    <row r="20" spans="2:4" ht="13.15" customHeight="1" x14ac:dyDescent="0.25">
      <c r="B20" s="61" t="s">
        <v>31</v>
      </c>
      <c r="C20" s="62">
        <v>1</v>
      </c>
      <c r="D20" s="62"/>
    </row>
    <row r="21" spans="2:4" ht="13.15" customHeight="1" x14ac:dyDescent="0.25">
      <c r="B21" s="64" t="s">
        <v>32</v>
      </c>
      <c r="C21" s="62">
        <v>1</v>
      </c>
      <c r="D21" s="62"/>
    </row>
    <row r="22" spans="2:4" ht="13.15" customHeight="1" x14ac:dyDescent="0.25">
      <c r="B22" s="61" t="s">
        <v>33</v>
      </c>
      <c r="C22" s="62">
        <v>5</v>
      </c>
      <c r="D22" s="62"/>
    </row>
    <row r="23" spans="2:4" ht="13.15" customHeight="1" x14ac:dyDescent="0.25">
      <c r="B23" s="61" t="s">
        <v>34</v>
      </c>
      <c r="C23" s="62">
        <v>3</v>
      </c>
      <c r="D23" s="62"/>
    </row>
    <row r="24" spans="2:4" ht="13.15" customHeight="1" x14ac:dyDescent="0.25">
      <c r="B24" s="61" t="s">
        <v>35</v>
      </c>
      <c r="C24" s="62">
        <v>3</v>
      </c>
      <c r="D24" s="62"/>
    </row>
    <row r="25" spans="2:4" ht="13.15" customHeight="1" x14ac:dyDescent="0.25">
      <c r="B25" s="61" t="s">
        <v>36</v>
      </c>
      <c r="C25" s="62">
        <v>3</v>
      </c>
      <c r="D25" s="62"/>
    </row>
    <row r="26" spans="2:4" ht="13.15" customHeight="1" x14ac:dyDescent="0.25">
      <c r="B26" s="61" t="s">
        <v>37</v>
      </c>
      <c r="C26" s="62">
        <v>3</v>
      </c>
      <c r="D26" s="62"/>
    </row>
    <row r="27" spans="2:4" ht="13.15" customHeight="1" x14ac:dyDescent="0.25">
      <c r="B27" s="61" t="s">
        <v>38</v>
      </c>
      <c r="C27" s="62">
        <v>1</v>
      </c>
      <c r="D27" s="62"/>
    </row>
    <row r="28" spans="2:4" ht="13.15" customHeight="1" x14ac:dyDescent="0.25">
      <c r="B28" s="63" t="s">
        <v>116</v>
      </c>
      <c r="C28" s="60">
        <f>SUM(C29:C34)</f>
        <v>5</v>
      </c>
      <c r="D28" s="60">
        <f>SUM(D29:D34)</f>
        <v>0</v>
      </c>
    </row>
    <row r="29" spans="2:4" ht="13.15" customHeight="1" x14ac:dyDescent="0.25">
      <c r="B29" s="61" t="s">
        <v>39</v>
      </c>
      <c r="C29" s="62">
        <v>1</v>
      </c>
      <c r="D29" s="62"/>
    </row>
    <row r="30" spans="2:4" ht="13.15" customHeight="1" x14ac:dyDescent="0.25">
      <c r="B30" s="61" t="s">
        <v>40</v>
      </c>
      <c r="C30" s="62">
        <v>2</v>
      </c>
      <c r="D30" s="62"/>
    </row>
    <row r="31" spans="2:4" ht="13.15" customHeight="1" x14ac:dyDescent="0.25">
      <c r="B31" s="61" t="s">
        <v>41</v>
      </c>
      <c r="C31" s="62">
        <v>0</v>
      </c>
      <c r="D31" s="62"/>
    </row>
    <row r="32" spans="2:4" ht="13.15" customHeight="1" x14ac:dyDescent="0.25">
      <c r="B32" s="61" t="s">
        <v>42</v>
      </c>
      <c r="C32" s="62">
        <v>0</v>
      </c>
      <c r="D32" s="62"/>
    </row>
    <row r="33" spans="2:4" ht="13.15" customHeight="1" x14ac:dyDescent="0.25">
      <c r="B33" s="61" t="s">
        <v>43</v>
      </c>
      <c r="C33" s="62">
        <v>2</v>
      </c>
      <c r="D33" s="62"/>
    </row>
    <row r="34" spans="2:4" ht="13.15" customHeight="1" x14ac:dyDescent="0.25">
      <c r="B34" s="61" t="s">
        <v>44</v>
      </c>
      <c r="C34" s="62">
        <v>0</v>
      </c>
      <c r="D34" s="62"/>
    </row>
    <row r="35" spans="2:4" ht="13.15" customHeight="1" x14ac:dyDescent="0.25">
      <c r="B35" s="59" t="s">
        <v>117</v>
      </c>
      <c r="C35" s="60">
        <f>SUM(C36:C49)</f>
        <v>21</v>
      </c>
      <c r="D35" s="60">
        <f>SUM(D36:D49)</f>
        <v>0</v>
      </c>
    </row>
    <row r="36" spans="2:4" ht="13.15" customHeight="1" x14ac:dyDescent="0.25">
      <c r="B36" s="64" t="s">
        <v>45</v>
      </c>
      <c r="C36" s="62">
        <v>3</v>
      </c>
      <c r="D36" s="62"/>
    </row>
    <row r="37" spans="2:4" ht="13.15" customHeight="1" x14ac:dyDescent="0.25">
      <c r="B37" s="64" t="s">
        <v>46</v>
      </c>
      <c r="C37" s="62">
        <v>0</v>
      </c>
      <c r="D37" s="62"/>
    </row>
    <row r="38" spans="2:4" ht="13.15" customHeight="1" x14ac:dyDescent="0.25">
      <c r="B38" s="64" t="s">
        <v>47</v>
      </c>
      <c r="C38" s="62">
        <v>0</v>
      </c>
      <c r="D38" s="62"/>
    </row>
    <row r="39" spans="2:4" ht="13.15" customHeight="1" x14ac:dyDescent="0.25">
      <c r="B39" s="64" t="s">
        <v>48</v>
      </c>
      <c r="C39" s="62">
        <v>0</v>
      </c>
      <c r="D39" s="62"/>
    </row>
    <row r="40" spans="2:4" ht="13.15" customHeight="1" x14ac:dyDescent="0.25">
      <c r="B40" s="64" t="s">
        <v>49</v>
      </c>
      <c r="C40" s="62">
        <v>2</v>
      </c>
      <c r="D40" s="62"/>
    </row>
    <row r="41" spans="2:4" ht="29.25" customHeight="1" x14ac:dyDescent="0.25">
      <c r="B41" s="61" t="s">
        <v>618</v>
      </c>
      <c r="C41" s="62">
        <v>1</v>
      </c>
      <c r="D41" s="62"/>
    </row>
    <row r="42" spans="2:4" ht="13.15" customHeight="1" x14ac:dyDescent="0.25">
      <c r="B42" s="64" t="s">
        <v>51</v>
      </c>
      <c r="C42" s="62">
        <v>1</v>
      </c>
      <c r="D42" s="62"/>
    </row>
    <row r="43" spans="2:4" ht="13.15" customHeight="1" x14ac:dyDescent="0.25">
      <c r="B43" s="64" t="s">
        <v>52</v>
      </c>
      <c r="C43" s="62">
        <v>0</v>
      </c>
      <c r="D43" s="62"/>
    </row>
    <row r="44" spans="2:4" ht="13.15" customHeight="1" x14ac:dyDescent="0.25">
      <c r="B44" s="64" t="s">
        <v>53</v>
      </c>
      <c r="C44" s="62">
        <v>5</v>
      </c>
      <c r="D44" s="62"/>
    </row>
    <row r="45" spans="2:4" ht="13.15" customHeight="1" x14ac:dyDescent="0.25">
      <c r="B45" s="64" t="s">
        <v>54</v>
      </c>
      <c r="C45" s="62">
        <v>1</v>
      </c>
      <c r="D45" s="62"/>
    </row>
    <row r="46" spans="2:4" ht="13.15" customHeight="1" x14ac:dyDescent="0.25">
      <c r="B46" s="64" t="s">
        <v>55</v>
      </c>
      <c r="C46" s="62">
        <v>2</v>
      </c>
      <c r="D46" s="62"/>
    </row>
    <row r="47" spans="2:4" ht="13.15" customHeight="1" x14ac:dyDescent="0.25">
      <c r="B47" s="64" t="s">
        <v>56</v>
      </c>
      <c r="C47" s="62">
        <v>4</v>
      </c>
      <c r="D47" s="62"/>
    </row>
    <row r="48" spans="2:4" ht="13.15" customHeight="1" x14ac:dyDescent="0.25">
      <c r="B48" s="64" t="s">
        <v>57</v>
      </c>
      <c r="C48" s="62">
        <v>1</v>
      </c>
      <c r="D48" s="62"/>
    </row>
    <row r="49" spans="2:4" ht="13.15" customHeight="1" x14ac:dyDescent="0.25">
      <c r="B49" s="64" t="s">
        <v>58</v>
      </c>
      <c r="C49" s="62">
        <v>1</v>
      </c>
      <c r="D49" s="62"/>
    </row>
    <row r="50" spans="2:4" ht="13.15" customHeight="1" x14ac:dyDescent="0.25">
      <c r="B50" s="59" t="s">
        <v>118</v>
      </c>
      <c r="C50" s="60">
        <f>SUM(C51:C58)</f>
        <v>43</v>
      </c>
      <c r="D50" s="60">
        <f>SUM(D51:D58)</f>
        <v>0</v>
      </c>
    </row>
    <row r="51" spans="2:4" ht="13.15" customHeight="1" x14ac:dyDescent="0.25">
      <c r="B51" s="61" t="s">
        <v>59</v>
      </c>
      <c r="C51" s="62">
        <v>1</v>
      </c>
      <c r="D51" s="62"/>
    </row>
    <row r="52" spans="2:4" ht="13.15" customHeight="1" x14ac:dyDescent="0.25">
      <c r="B52" s="61" t="s">
        <v>60</v>
      </c>
      <c r="C52" s="62">
        <v>2</v>
      </c>
      <c r="D52" s="62"/>
    </row>
    <row r="53" spans="2:4" ht="13.15" customHeight="1" x14ac:dyDescent="0.25">
      <c r="B53" s="64" t="s">
        <v>61</v>
      </c>
      <c r="C53" s="62">
        <v>7</v>
      </c>
      <c r="D53" s="62"/>
    </row>
    <row r="54" spans="2:4" ht="13.15" customHeight="1" x14ac:dyDescent="0.25">
      <c r="B54" s="61" t="s">
        <v>62</v>
      </c>
      <c r="C54" s="62">
        <v>10</v>
      </c>
      <c r="D54" s="62"/>
    </row>
    <row r="55" spans="2:4" ht="13.15" customHeight="1" x14ac:dyDescent="0.25">
      <c r="B55" s="61" t="s">
        <v>63</v>
      </c>
      <c r="C55" s="62">
        <v>1</v>
      </c>
      <c r="D55" s="62"/>
    </row>
    <row r="56" spans="2:4" ht="13.15" customHeight="1" x14ac:dyDescent="0.25">
      <c r="B56" s="61" t="s">
        <v>64</v>
      </c>
      <c r="C56" s="62">
        <v>1</v>
      </c>
      <c r="D56" s="62"/>
    </row>
    <row r="57" spans="2:4" ht="13.15" customHeight="1" x14ac:dyDescent="0.25">
      <c r="B57" s="61" t="s">
        <v>65</v>
      </c>
      <c r="C57" s="62">
        <v>1</v>
      </c>
      <c r="D57" s="62"/>
    </row>
    <row r="58" spans="2:4" ht="13.15" customHeight="1" x14ac:dyDescent="0.25">
      <c r="B58" s="64" t="s">
        <v>66</v>
      </c>
      <c r="C58" s="62">
        <v>20</v>
      </c>
      <c r="D58" s="62"/>
    </row>
    <row r="59" spans="2:4" ht="13.15" customHeight="1" x14ac:dyDescent="0.25">
      <c r="B59" s="59" t="s">
        <v>119</v>
      </c>
      <c r="C59" s="60">
        <f>SUM(C60:C66)</f>
        <v>6</v>
      </c>
      <c r="D59" s="60">
        <f>SUM(D60:D66)</f>
        <v>0</v>
      </c>
    </row>
    <row r="60" spans="2:4" ht="13.15" customHeight="1" x14ac:dyDescent="0.25">
      <c r="B60" s="64" t="s">
        <v>67</v>
      </c>
      <c r="C60" s="62">
        <v>3</v>
      </c>
      <c r="D60" s="62"/>
    </row>
    <row r="61" spans="2:4" ht="13.15" customHeight="1" x14ac:dyDescent="0.25">
      <c r="B61" s="64" t="s">
        <v>68</v>
      </c>
      <c r="C61" s="62">
        <v>0</v>
      </c>
      <c r="D61" s="62"/>
    </row>
    <row r="62" spans="2:4" ht="13.15" customHeight="1" x14ac:dyDescent="0.25">
      <c r="B62" s="61" t="s">
        <v>69</v>
      </c>
      <c r="C62" s="62">
        <v>0</v>
      </c>
      <c r="D62" s="62"/>
    </row>
    <row r="63" spans="2:4" ht="13.15" customHeight="1" x14ac:dyDescent="0.25">
      <c r="B63" s="61" t="s">
        <v>70</v>
      </c>
      <c r="C63" s="62">
        <v>0</v>
      </c>
      <c r="D63" s="62"/>
    </row>
    <row r="64" spans="2:4" ht="13.15" customHeight="1" x14ac:dyDescent="0.25">
      <c r="B64" s="61" t="s">
        <v>71</v>
      </c>
      <c r="C64" s="62">
        <v>2</v>
      </c>
      <c r="D64" s="62"/>
    </row>
    <row r="65" spans="2:4" ht="13.15" customHeight="1" x14ac:dyDescent="0.25">
      <c r="B65" s="64" t="s">
        <v>72</v>
      </c>
      <c r="C65" s="62">
        <v>0</v>
      </c>
      <c r="D65" s="62"/>
    </row>
    <row r="66" spans="2:4" ht="13.15" customHeight="1" x14ac:dyDescent="0.25">
      <c r="B66" s="64" t="s">
        <v>73</v>
      </c>
      <c r="C66" s="62">
        <v>1</v>
      </c>
      <c r="D66" s="62"/>
    </row>
    <row r="67" spans="2:4" ht="13.15" customHeight="1" x14ac:dyDescent="0.25">
      <c r="B67" s="59" t="s">
        <v>120</v>
      </c>
      <c r="C67" s="60">
        <f>SUM(C68:C78)</f>
        <v>10</v>
      </c>
      <c r="D67" s="60">
        <f>SUM(D68:D78)</f>
        <v>0</v>
      </c>
    </row>
    <row r="68" spans="2:4" ht="13.15" customHeight="1" x14ac:dyDescent="0.25">
      <c r="B68" s="64" t="s">
        <v>74</v>
      </c>
      <c r="C68" s="62">
        <v>0</v>
      </c>
      <c r="D68" s="62"/>
    </row>
    <row r="69" spans="2:4" ht="13.15" customHeight="1" x14ac:dyDescent="0.25">
      <c r="B69" s="61" t="s">
        <v>75</v>
      </c>
      <c r="C69" s="62">
        <v>2</v>
      </c>
      <c r="D69" s="62"/>
    </row>
    <row r="70" spans="2:4" ht="13.15" customHeight="1" x14ac:dyDescent="0.25">
      <c r="B70" s="64" t="s">
        <v>76</v>
      </c>
      <c r="C70" s="62">
        <v>0</v>
      </c>
      <c r="D70" s="62"/>
    </row>
    <row r="71" spans="2:4" ht="13.15" customHeight="1" x14ac:dyDescent="0.25">
      <c r="B71" s="64" t="s">
        <v>77</v>
      </c>
      <c r="C71" s="62">
        <v>0</v>
      </c>
      <c r="D71" s="62"/>
    </row>
    <row r="72" spans="2:4" ht="13.15" customHeight="1" x14ac:dyDescent="0.25">
      <c r="B72" s="61" t="s">
        <v>78</v>
      </c>
      <c r="C72" s="62">
        <v>0</v>
      </c>
      <c r="D72" s="62"/>
    </row>
    <row r="73" spans="2:4" ht="13.15" customHeight="1" x14ac:dyDescent="0.25">
      <c r="B73" s="64" t="s">
        <v>79</v>
      </c>
      <c r="C73" s="62">
        <v>6</v>
      </c>
      <c r="D73" s="62"/>
    </row>
    <row r="74" spans="2:4" ht="13.15" customHeight="1" x14ac:dyDescent="0.25">
      <c r="B74" s="64" t="s">
        <v>80</v>
      </c>
      <c r="C74" s="62">
        <v>2</v>
      </c>
      <c r="D74" s="62"/>
    </row>
    <row r="75" spans="2:4" ht="13.15" customHeight="1" x14ac:dyDescent="0.25">
      <c r="B75" s="64" t="s">
        <v>81</v>
      </c>
      <c r="C75" s="62">
        <v>0</v>
      </c>
      <c r="D75" s="62"/>
    </row>
    <row r="76" spans="2:4" ht="13.15" customHeight="1" x14ac:dyDescent="0.25">
      <c r="B76" s="61" t="s">
        <v>82</v>
      </c>
      <c r="C76" s="62">
        <v>0</v>
      </c>
      <c r="D76" s="62"/>
    </row>
    <row r="77" spans="2:4" ht="13.15" customHeight="1" x14ac:dyDescent="0.25">
      <c r="B77" s="61" t="s">
        <v>83</v>
      </c>
      <c r="C77" s="62">
        <v>0</v>
      </c>
      <c r="D77" s="62"/>
    </row>
    <row r="78" spans="2:4" ht="13.15" customHeight="1" x14ac:dyDescent="0.25">
      <c r="B78" s="61" t="s">
        <v>84</v>
      </c>
      <c r="C78" s="62">
        <v>0</v>
      </c>
      <c r="D78" s="62"/>
    </row>
    <row r="79" spans="2:4" ht="13.15" customHeight="1" x14ac:dyDescent="0.25">
      <c r="B79" s="63" t="s">
        <v>121</v>
      </c>
      <c r="C79" s="60">
        <f>SUM(C80:C97)</f>
        <v>38</v>
      </c>
      <c r="D79" s="60">
        <f>SUM(D80:D97)</f>
        <v>0</v>
      </c>
    </row>
    <row r="80" spans="2:4" ht="13.15" customHeight="1" x14ac:dyDescent="0.25">
      <c r="B80" s="61" t="s">
        <v>85</v>
      </c>
      <c r="C80" s="62">
        <v>0</v>
      </c>
      <c r="D80" s="62"/>
    </row>
    <row r="81" spans="2:4" ht="13.15" customHeight="1" x14ac:dyDescent="0.25">
      <c r="B81" s="61" t="s">
        <v>86</v>
      </c>
      <c r="C81" s="62">
        <v>9</v>
      </c>
      <c r="D81" s="62"/>
    </row>
    <row r="82" spans="2:4" ht="13.15" customHeight="1" x14ac:dyDescent="0.25">
      <c r="B82" s="61" t="s">
        <v>87</v>
      </c>
      <c r="C82" s="62">
        <v>1</v>
      </c>
      <c r="D82" s="62"/>
    </row>
    <row r="83" spans="2:4" ht="13.15" customHeight="1" x14ac:dyDescent="0.25">
      <c r="B83" s="61" t="s">
        <v>88</v>
      </c>
      <c r="C83" s="62">
        <v>3</v>
      </c>
      <c r="D83" s="62"/>
    </row>
    <row r="84" spans="2:4" ht="13.15" customHeight="1" x14ac:dyDescent="0.25">
      <c r="B84" s="61" t="s">
        <v>89</v>
      </c>
      <c r="C84" s="62">
        <v>0</v>
      </c>
      <c r="D84" s="62"/>
    </row>
    <row r="85" spans="2:4" ht="13.15" customHeight="1" x14ac:dyDescent="0.25">
      <c r="B85" s="61" t="s">
        <v>90</v>
      </c>
      <c r="C85" s="62">
        <v>0</v>
      </c>
      <c r="D85" s="62"/>
    </row>
    <row r="86" spans="2:4" ht="13.15" customHeight="1" x14ac:dyDescent="0.25">
      <c r="B86" s="61" t="s">
        <v>91</v>
      </c>
      <c r="C86" s="62">
        <v>1</v>
      </c>
      <c r="D86" s="62"/>
    </row>
    <row r="87" spans="2:4" ht="13.15" customHeight="1" x14ac:dyDescent="0.25">
      <c r="B87" s="64" t="s">
        <v>92</v>
      </c>
      <c r="C87" s="62">
        <v>5</v>
      </c>
      <c r="D87" s="62"/>
    </row>
    <row r="88" spans="2:4" ht="13.15" customHeight="1" x14ac:dyDescent="0.25">
      <c r="B88" s="61" t="s">
        <v>93</v>
      </c>
      <c r="C88" s="62">
        <v>1</v>
      </c>
      <c r="D88" s="62"/>
    </row>
    <row r="89" spans="2:4" ht="13.15" customHeight="1" x14ac:dyDescent="0.25">
      <c r="B89" s="61" t="s">
        <v>94</v>
      </c>
      <c r="C89" s="62">
        <v>8</v>
      </c>
      <c r="D89" s="62"/>
    </row>
    <row r="90" spans="2:4" ht="13.15" customHeight="1" x14ac:dyDescent="0.25">
      <c r="B90" s="61" t="s">
        <v>95</v>
      </c>
      <c r="C90" s="62">
        <v>0</v>
      </c>
      <c r="D90" s="62"/>
    </row>
    <row r="91" spans="2:4" ht="13.15" customHeight="1" x14ac:dyDescent="0.25">
      <c r="B91" s="61" t="s">
        <v>96</v>
      </c>
      <c r="C91" s="62">
        <v>1</v>
      </c>
      <c r="D91" s="62"/>
    </row>
    <row r="92" spans="2:4" ht="13.15" customHeight="1" x14ac:dyDescent="0.25">
      <c r="B92" s="61" t="s">
        <v>97</v>
      </c>
      <c r="C92" s="62">
        <v>0</v>
      </c>
      <c r="D92" s="62"/>
    </row>
    <row r="93" spans="2:4" ht="13.15" customHeight="1" x14ac:dyDescent="0.25">
      <c r="B93" s="61" t="s">
        <v>98</v>
      </c>
      <c r="C93" s="62">
        <v>1</v>
      </c>
      <c r="D93" s="62"/>
    </row>
    <row r="94" spans="2:4" ht="13.15" customHeight="1" x14ac:dyDescent="0.25">
      <c r="B94" s="61" t="s">
        <v>99</v>
      </c>
      <c r="C94" s="62">
        <v>1</v>
      </c>
      <c r="D94" s="62"/>
    </row>
    <row r="95" spans="2:4" ht="13.15" customHeight="1" x14ac:dyDescent="0.25">
      <c r="B95" s="61" t="s">
        <v>100</v>
      </c>
      <c r="C95" s="62">
        <v>2</v>
      </c>
      <c r="D95" s="62"/>
    </row>
    <row r="96" spans="2:4" ht="13.15" customHeight="1" x14ac:dyDescent="0.25">
      <c r="B96" s="61" t="s">
        <v>101</v>
      </c>
      <c r="C96" s="62">
        <v>1</v>
      </c>
      <c r="D96" s="62"/>
    </row>
    <row r="97" spans="2:4" ht="13.15" customHeight="1" x14ac:dyDescent="0.25">
      <c r="B97" s="64" t="s">
        <v>102</v>
      </c>
      <c r="C97" s="62">
        <v>4</v>
      </c>
      <c r="D97" s="62"/>
    </row>
    <row r="98" spans="2:4" ht="13.15" customHeight="1" x14ac:dyDescent="0.25">
      <c r="B98" s="63"/>
      <c r="C98" s="60">
        <v>0</v>
      </c>
      <c r="D98" s="60">
        <f>SUM(D99:D116)</f>
        <v>0</v>
      </c>
    </row>
    <row r="99" spans="2:4" ht="13.15" customHeight="1" x14ac:dyDescent="0.25">
      <c r="B99" s="64" t="s">
        <v>608</v>
      </c>
      <c r="C99" s="189"/>
      <c r="D99" s="62"/>
    </row>
    <row r="100" spans="2:4" ht="13.15" customHeight="1" x14ac:dyDescent="0.25">
      <c r="B100" s="64" t="s">
        <v>609</v>
      </c>
      <c r="C100" s="189"/>
      <c r="D100" s="62"/>
    </row>
    <row r="101" spans="2:4" ht="13.15" customHeight="1" x14ac:dyDescent="0.25">
      <c r="B101" s="64" t="s">
        <v>610</v>
      </c>
      <c r="C101" s="189"/>
      <c r="D101" s="62"/>
    </row>
    <row r="102" spans="2:4" ht="13.15" customHeight="1" x14ac:dyDescent="0.25">
      <c r="B102" s="64" t="s">
        <v>611</v>
      </c>
      <c r="C102" s="189"/>
      <c r="D102" s="62"/>
    </row>
    <row r="103" spans="2:4" ht="25.5" x14ac:dyDescent="0.25">
      <c r="B103" s="190" t="s">
        <v>247</v>
      </c>
      <c r="C103" s="74">
        <f>C5+C17+C28+C35+C50+C59+C67+C79</f>
        <v>164</v>
      </c>
      <c r="D103" s="74">
        <f>D5+D17+D28+D35+D50+D59+D67+D79</f>
        <v>0</v>
      </c>
    </row>
  </sheetData>
  <mergeCells count="2">
    <mergeCell ref="B2:B4"/>
    <mergeCell ref="C2:D3"/>
  </mergeCells>
  <phoneticPr fontId="10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P56"/>
  <sheetViews>
    <sheetView topLeftCell="C1" zoomScaleNormal="100" workbookViewId="0">
      <selection activeCell="L65" sqref="L65"/>
    </sheetView>
  </sheetViews>
  <sheetFormatPr defaultRowHeight="15" x14ac:dyDescent="0.25"/>
  <cols>
    <col min="2" max="2" width="44.28515625" customWidth="1"/>
    <col min="10" max="10" width="10.140625" customWidth="1"/>
  </cols>
  <sheetData>
    <row r="1" spans="2:16" ht="15.75" thickBot="1" x14ac:dyDescent="0.3"/>
    <row r="2" spans="2:16" ht="15.75" thickBot="1" x14ac:dyDescent="0.3">
      <c r="B2" s="205" t="s">
        <v>14</v>
      </c>
      <c r="C2" s="208" t="s">
        <v>0</v>
      </c>
      <c r="D2" s="209"/>
      <c r="E2" s="209"/>
      <c r="F2" s="209"/>
      <c r="G2" s="209"/>
      <c r="H2" s="209"/>
      <c r="I2" s="209"/>
      <c r="J2" s="209"/>
      <c r="K2" s="209"/>
      <c r="L2" s="209"/>
      <c r="M2" s="209"/>
      <c r="N2" s="209"/>
      <c r="O2" s="209"/>
      <c r="P2" s="210"/>
    </row>
    <row r="3" spans="2:16" ht="39" customHeight="1" thickBot="1" x14ac:dyDescent="0.3">
      <c r="B3" s="219"/>
      <c r="C3" s="208" t="s">
        <v>2</v>
      </c>
      <c r="D3" s="210"/>
      <c r="E3" s="208" t="s">
        <v>123</v>
      </c>
      <c r="F3" s="210"/>
      <c r="G3" s="208" t="s">
        <v>3</v>
      </c>
      <c r="H3" s="210"/>
      <c r="I3" s="208" t="s">
        <v>4</v>
      </c>
      <c r="J3" s="210"/>
      <c r="K3" s="208" t="s">
        <v>5</v>
      </c>
      <c r="L3" s="210"/>
      <c r="M3" s="208" t="s">
        <v>6</v>
      </c>
      <c r="N3" s="210"/>
      <c r="O3" s="208" t="s">
        <v>7</v>
      </c>
      <c r="P3" s="210"/>
    </row>
    <row r="4" spans="2:16" ht="15.75" thickBot="1" x14ac:dyDescent="0.3">
      <c r="B4" s="206"/>
      <c r="C4" s="69" t="s">
        <v>122</v>
      </c>
      <c r="D4" s="69" t="s">
        <v>223</v>
      </c>
      <c r="E4" s="69" t="s">
        <v>122</v>
      </c>
      <c r="F4" s="69" t="s">
        <v>223</v>
      </c>
      <c r="G4" s="69" t="s">
        <v>122</v>
      </c>
      <c r="H4" s="69" t="s">
        <v>223</v>
      </c>
      <c r="I4" s="69" t="s">
        <v>122</v>
      </c>
      <c r="J4" s="69" t="s">
        <v>223</v>
      </c>
      <c r="K4" s="69" t="s">
        <v>122</v>
      </c>
      <c r="L4" s="69" t="s">
        <v>223</v>
      </c>
      <c r="M4" s="69" t="s">
        <v>122</v>
      </c>
      <c r="N4" s="69" t="s">
        <v>223</v>
      </c>
      <c r="O4" s="69" t="s">
        <v>122</v>
      </c>
      <c r="P4" s="69" t="s">
        <v>223</v>
      </c>
    </row>
    <row r="5" spans="2:16" ht="15.75" thickBot="1" x14ac:dyDescent="0.3">
      <c r="B5" s="202" t="s">
        <v>12</v>
      </c>
      <c r="C5" s="202"/>
      <c r="D5" s="202"/>
      <c r="E5" s="202"/>
      <c r="F5" s="202"/>
      <c r="G5" s="202"/>
      <c r="H5" s="202"/>
      <c r="I5" s="202"/>
      <c r="J5" s="202"/>
      <c r="K5" s="202"/>
      <c r="L5" s="202"/>
      <c r="M5" s="202"/>
      <c r="N5" s="202"/>
      <c r="O5" s="202"/>
      <c r="P5" s="202"/>
    </row>
    <row r="6" spans="2:16" ht="22.15" customHeight="1" thickBot="1" x14ac:dyDescent="0.3">
      <c r="B6" s="13" t="s">
        <v>163</v>
      </c>
      <c r="C6" s="19">
        <f>SUM(C7:C8)</f>
        <v>0</v>
      </c>
      <c r="D6" s="19">
        <f t="shared" ref="D6:P6" si="0">SUM(D7:D8)</f>
        <v>0</v>
      </c>
      <c r="E6" s="19">
        <f t="shared" si="0"/>
        <v>0</v>
      </c>
      <c r="F6" s="19">
        <f t="shared" si="0"/>
        <v>0</v>
      </c>
      <c r="G6" s="19">
        <f t="shared" si="0"/>
        <v>0</v>
      </c>
      <c r="H6" s="19">
        <f t="shared" si="0"/>
        <v>0</v>
      </c>
      <c r="I6" s="19">
        <f t="shared" si="0"/>
        <v>0</v>
      </c>
      <c r="J6" s="19">
        <f t="shared" si="0"/>
        <v>0</v>
      </c>
      <c r="K6" s="19">
        <f t="shared" si="0"/>
        <v>0</v>
      </c>
      <c r="L6" s="19">
        <f t="shared" si="0"/>
        <v>0</v>
      </c>
      <c r="M6" s="19">
        <f t="shared" si="0"/>
        <v>0</v>
      </c>
      <c r="N6" s="19">
        <f t="shared" si="0"/>
        <v>0</v>
      </c>
      <c r="O6" s="19">
        <f t="shared" si="0"/>
        <v>0</v>
      </c>
      <c r="P6" s="19">
        <f t="shared" si="0"/>
        <v>0</v>
      </c>
    </row>
    <row r="7" spans="2:16" ht="22.9" customHeight="1" thickBot="1" x14ac:dyDescent="0.3">
      <c r="B7" s="12" t="s">
        <v>164</v>
      </c>
      <c r="C7" s="21">
        <f t="shared" ref="C7:D22" si="1">SUM(E7,G7,I7,K7,M7,O7)</f>
        <v>0</v>
      </c>
      <c r="D7" s="21">
        <f t="shared" si="1"/>
        <v>0</v>
      </c>
      <c r="E7" s="16">
        <v>0</v>
      </c>
      <c r="F7" s="16">
        <v>0</v>
      </c>
      <c r="G7" s="16">
        <v>0</v>
      </c>
      <c r="H7" s="16">
        <v>0</v>
      </c>
      <c r="I7" s="16">
        <v>0</v>
      </c>
      <c r="J7" s="16">
        <v>0</v>
      </c>
      <c r="K7" s="16">
        <v>0</v>
      </c>
      <c r="L7" s="16">
        <v>0</v>
      </c>
      <c r="M7" s="16">
        <v>0</v>
      </c>
      <c r="N7" s="16">
        <v>0</v>
      </c>
      <c r="O7" s="16">
        <v>0</v>
      </c>
      <c r="P7" s="16">
        <v>0</v>
      </c>
    </row>
    <row r="8" spans="2:16" ht="22.9" customHeight="1" thickBot="1" x14ac:dyDescent="0.3">
      <c r="B8" s="12" t="s">
        <v>165</v>
      </c>
      <c r="C8" s="21">
        <f t="shared" si="1"/>
        <v>0</v>
      </c>
      <c r="D8" s="21">
        <f t="shared" si="1"/>
        <v>0</v>
      </c>
      <c r="E8" s="16">
        <v>0</v>
      </c>
      <c r="F8" s="16">
        <v>0</v>
      </c>
      <c r="G8" s="16">
        <v>0</v>
      </c>
      <c r="H8" s="16">
        <v>0</v>
      </c>
      <c r="I8" s="16">
        <v>0</v>
      </c>
      <c r="J8" s="16">
        <v>0</v>
      </c>
      <c r="K8" s="16">
        <v>0</v>
      </c>
      <c r="L8" s="16">
        <v>0</v>
      </c>
      <c r="M8" s="16">
        <v>0</v>
      </c>
      <c r="N8" s="16">
        <v>0</v>
      </c>
      <c r="O8" s="16">
        <v>0</v>
      </c>
      <c r="P8" s="16">
        <v>0</v>
      </c>
    </row>
    <row r="9" spans="2:16" ht="22.9" customHeight="1" thickBot="1" x14ac:dyDescent="0.3">
      <c r="B9" s="13" t="s">
        <v>166</v>
      </c>
      <c r="C9" s="19">
        <f>SUM(C10:C13)</f>
        <v>3</v>
      </c>
      <c r="D9" s="19">
        <f t="shared" ref="D9:P9" si="2">SUM(D10:D13)</f>
        <v>0</v>
      </c>
      <c r="E9" s="19">
        <f t="shared" si="2"/>
        <v>0</v>
      </c>
      <c r="F9" s="19">
        <f t="shared" si="2"/>
        <v>0</v>
      </c>
      <c r="G9" s="19">
        <f t="shared" si="2"/>
        <v>3</v>
      </c>
      <c r="H9" s="19">
        <f t="shared" si="2"/>
        <v>0</v>
      </c>
      <c r="I9" s="19">
        <f t="shared" si="2"/>
        <v>0</v>
      </c>
      <c r="J9" s="19">
        <f t="shared" si="2"/>
        <v>0</v>
      </c>
      <c r="K9" s="19">
        <f t="shared" si="2"/>
        <v>0</v>
      </c>
      <c r="L9" s="19">
        <f t="shared" si="2"/>
        <v>0</v>
      </c>
      <c r="M9" s="19">
        <f t="shared" si="2"/>
        <v>0</v>
      </c>
      <c r="N9" s="19">
        <f t="shared" si="2"/>
        <v>0</v>
      </c>
      <c r="O9" s="19">
        <f t="shared" si="2"/>
        <v>0</v>
      </c>
      <c r="P9" s="19">
        <f t="shared" si="2"/>
        <v>0</v>
      </c>
    </row>
    <row r="10" spans="2:16" ht="22.9" customHeight="1" thickBot="1" x14ac:dyDescent="0.3">
      <c r="B10" s="12" t="s">
        <v>167</v>
      </c>
      <c r="C10" s="21">
        <f t="shared" si="1"/>
        <v>1</v>
      </c>
      <c r="D10" s="21">
        <f t="shared" si="1"/>
        <v>0</v>
      </c>
      <c r="E10" s="16">
        <v>0</v>
      </c>
      <c r="F10" s="16">
        <v>0</v>
      </c>
      <c r="G10" s="16">
        <v>1</v>
      </c>
      <c r="H10" s="16">
        <v>0</v>
      </c>
      <c r="I10" s="16">
        <v>0</v>
      </c>
      <c r="J10" s="16">
        <v>0</v>
      </c>
      <c r="K10" s="16">
        <v>0</v>
      </c>
      <c r="L10" s="16">
        <v>0</v>
      </c>
      <c r="M10" s="16">
        <v>0</v>
      </c>
      <c r="N10" s="16">
        <v>0</v>
      </c>
      <c r="O10" s="16">
        <v>0</v>
      </c>
      <c r="P10" s="16">
        <v>0</v>
      </c>
    </row>
    <row r="11" spans="2:16" ht="22.9" customHeight="1" thickBot="1" x14ac:dyDescent="0.3">
      <c r="B11" s="12" t="s">
        <v>168</v>
      </c>
      <c r="C11" s="21">
        <f t="shared" si="1"/>
        <v>2</v>
      </c>
      <c r="D11" s="21">
        <f t="shared" si="1"/>
        <v>0</v>
      </c>
      <c r="E11" s="16">
        <v>0</v>
      </c>
      <c r="F11" s="16">
        <v>0</v>
      </c>
      <c r="G11" s="16">
        <v>2</v>
      </c>
      <c r="H11" s="16">
        <v>0</v>
      </c>
      <c r="I11" s="16">
        <v>0</v>
      </c>
      <c r="J11" s="16">
        <v>0</v>
      </c>
      <c r="K11" s="16">
        <v>0</v>
      </c>
      <c r="L11" s="16">
        <v>0</v>
      </c>
      <c r="M11" s="16">
        <v>0</v>
      </c>
      <c r="N11" s="16">
        <v>0</v>
      </c>
      <c r="O11" s="16">
        <v>0</v>
      </c>
      <c r="P11" s="16">
        <v>0</v>
      </c>
    </row>
    <row r="12" spans="2:16" ht="22.9" customHeight="1" thickBot="1" x14ac:dyDescent="0.3">
      <c r="B12" s="12" t="s">
        <v>169</v>
      </c>
      <c r="C12" s="21">
        <f t="shared" si="1"/>
        <v>0</v>
      </c>
      <c r="D12" s="21">
        <f t="shared" si="1"/>
        <v>0</v>
      </c>
      <c r="E12" s="16">
        <v>0</v>
      </c>
      <c r="F12" s="16">
        <v>0</v>
      </c>
      <c r="G12" s="16">
        <v>0</v>
      </c>
      <c r="H12" s="16">
        <v>0</v>
      </c>
      <c r="I12" s="16">
        <v>0</v>
      </c>
      <c r="J12" s="16">
        <v>0</v>
      </c>
      <c r="K12" s="16">
        <v>0</v>
      </c>
      <c r="L12" s="16">
        <v>0</v>
      </c>
      <c r="M12" s="16">
        <v>0</v>
      </c>
      <c r="N12" s="16">
        <v>0</v>
      </c>
      <c r="O12" s="16">
        <v>0</v>
      </c>
      <c r="P12" s="16">
        <v>0</v>
      </c>
    </row>
    <row r="13" spans="2:16" ht="36.6" customHeight="1" thickBot="1" x14ac:dyDescent="0.3">
      <c r="B13" s="12" t="s">
        <v>214</v>
      </c>
      <c r="C13" s="21">
        <f t="shared" si="1"/>
        <v>0</v>
      </c>
      <c r="D13" s="21">
        <f t="shared" si="1"/>
        <v>0</v>
      </c>
      <c r="E13" s="16">
        <v>0</v>
      </c>
      <c r="F13" s="16">
        <v>0</v>
      </c>
      <c r="G13" s="16">
        <v>0</v>
      </c>
      <c r="H13" s="16">
        <v>0</v>
      </c>
      <c r="I13" s="16">
        <v>0</v>
      </c>
      <c r="J13" s="16">
        <v>0</v>
      </c>
      <c r="K13" s="16">
        <v>0</v>
      </c>
      <c r="L13" s="16">
        <v>0</v>
      </c>
      <c r="M13" s="16">
        <v>0</v>
      </c>
      <c r="N13" s="16">
        <v>0</v>
      </c>
      <c r="O13" s="16">
        <v>0</v>
      </c>
      <c r="P13" s="16">
        <v>0</v>
      </c>
    </row>
    <row r="14" spans="2:16" ht="22.15" customHeight="1" thickBot="1" x14ac:dyDescent="0.3">
      <c r="B14" s="13" t="s">
        <v>170</v>
      </c>
      <c r="C14" s="19">
        <f>SUM(C15:C31)</f>
        <v>36</v>
      </c>
      <c r="D14" s="19">
        <f t="shared" ref="D14:P14" si="3">SUM(D15:D31)</f>
        <v>0</v>
      </c>
      <c r="E14" s="19">
        <f t="shared" si="3"/>
        <v>2</v>
      </c>
      <c r="F14" s="19">
        <f t="shared" si="3"/>
        <v>0</v>
      </c>
      <c r="G14" s="19">
        <f t="shared" si="3"/>
        <v>24</v>
      </c>
      <c r="H14" s="19">
        <f t="shared" si="3"/>
        <v>0</v>
      </c>
      <c r="I14" s="19">
        <f t="shared" si="3"/>
        <v>4</v>
      </c>
      <c r="J14" s="19">
        <f t="shared" si="3"/>
        <v>0</v>
      </c>
      <c r="K14" s="19">
        <f t="shared" si="3"/>
        <v>6</v>
      </c>
      <c r="L14" s="19">
        <f t="shared" si="3"/>
        <v>0</v>
      </c>
      <c r="M14" s="19">
        <f t="shared" si="3"/>
        <v>0</v>
      </c>
      <c r="N14" s="19">
        <f t="shared" si="3"/>
        <v>0</v>
      </c>
      <c r="O14" s="19">
        <f t="shared" si="3"/>
        <v>0</v>
      </c>
      <c r="P14" s="19">
        <f t="shared" si="3"/>
        <v>0</v>
      </c>
    </row>
    <row r="15" spans="2:16" ht="36.6" customHeight="1" thickBot="1" x14ac:dyDescent="0.3">
      <c r="B15" s="12" t="s">
        <v>187</v>
      </c>
      <c r="C15" s="21">
        <f t="shared" ref="C15:D36" si="4">SUM(E15,G15,I15,K15,M15,O15)</f>
        <v>9</v>
      </c>
      <c r="D15" s="21">
        <f t="shared" si="1"/>
        <v>0</v>
      </c>
      <c r="E15" s="16">
        <v>0</v>
      </c>
      <c r="F15" s="50">
        <v>0</v>
      </c>
      <c r="G15" s="16">
        <v>7</v>
      </c>
      <c r="H15" s="50">
        <v>0</v>
      </c>
      <c r="I15" s="16">
        <v>1</v>
      </c>
      <c r="J15" s="50">
        <v>0</v>
      </c>
      <c r="K15" s="16">
        <v>1</v>
      </c>
      <c r="L15" s="50">
        <v>0</v>
      </c>
      <c r="M15" s="16">
        <v>0</v>
      </c>
      <c r="N15" s="50">
        <v>0</v>
      </c>
      <c r="O15" s="16">
        <v>0</v>
      </c>
      <c r="P15" s="50">
        <v>0</v>
      </c>
    </row>
    <row r="16" spans="2:16" ht="32.450000000000003" customHeight="1" thickBot="1" x14ac:dyDescent="0.3">
      <c r="B16" s="12" t="s">
        <v>186</v>
      </c>
      <c r="C16" s="21">
        <f t="shared" si="4"/>
        <v>0</v>
      </c>
      <c r="D16" s="21">
        <f t="shared" si="1"/>
        <v>0</v>
      </c>
      <c r="E16" s="16">
        <v>0</v>
      </c>
      <c r="F16" s="50">
        <v>0</v>
      </c>
      <c r="G16" s="16">
        <v>0</v>
      </c>
      <c r="H16" s="50">
        <v>0</v>
      </c>
      <c r="I16" s="16">
        <v>0</v>
      </c>
      <c r="J16" s="50">
        <v>0</v>
      </c>
      <c r="K16" s="16">
        <v>0</v>
      </c>
      <c r="L16" s="50">
        <v>0</v>
      </c>
      <c r="M16" s="16">
        <v>0</v>
      </c>
      <c r="N16" s="50">
        <v>0</v>
      </c>
      <c r="O16" s="16">
        <v>0</v>
      </c>
      <c r="P16" s="50">
        <v>0</v>
      </c>
    </row>
    <row r="17" spans="2:16" ht="25.15" customHeight="1" thickBot="1" x14ac:dyDescent="0.3">
      <c r="B17" s="12" t="s">
        <v>171</v>
      </c>
      <c r="C17" s="21">
        <f t="shared" si="4"/>
        <v>1</v>
      </c>
      <c r="D17" s="21">
        <f t="shared" si="1"/>
        <v>0</v>
      </c>
      <c r="E17" s="16">
        <v>0</v>
      </c>
      <c r="F17" s="50">
        <v>0</v>
      </c>
      <c r="G17" s="16">
        <v>1</v>
      </c>
      <c r="H17" s="50">
        <v>0</v>
      </c>
      <c r="I17" s="16">
        <v>0</v>
      </c>
      <c r="J17" s="50">
        <v>0</v>
      </c>
      <c r="K17" s="16">
        <v>0</v>
      </c>
      <c r="L17" s="50">
        <v>0</v>
      </c>
      <c r="M17" s="16">
        <v>0</v>
      </c>
      <c r="N17" s="50">
        <v>0</v>
      </c>
      <c r="O17" s="16">
        <v>0</v>
      </c>
      <c r="P17" s="50">
        <v>0</v>
      </c>
    </row>
    <row r="18" spans="2:16" ht="25.15" customHeight="1" thickBot="1" x14ac:dyDescent="0.3">
      <c r="B18" s="12" t="s">
        <v>172</v>
      </c>
      <c r="C18" s="21">
        <f t="shared" si="4"/>
        <v>5</v>
      </c>
      <c r="D18" s="21">
        <f t="shared" si="1"/>
        <v>0</v>
      </c>
      <c r="E18" s="16">
        <v>0</v>
      </c>
      <c r="F18" s="50">
        <v>0</v>
      </c>
      <c r="G18" s="16">
        <v>1</v>
      </c>
      <c r="H18" s="50">
        <v>0</v>
      </c>
      <c r="I18" s="16">
        <v>1</v>
      </c>
      <c r="J18" s="50">
        <v>0</v>
      </c>
      <c r="K18" s="16">
        <v>3</v>
      </c>
      <c r="L18" s="50">
        <v>0</v>
      </c>
      <c r="M18" s="16">
        <v>0</v>
      </c>
      <c r="N18" s="50">
        <v>0</v>
      </c>
      <c r="O18" s="16">
        <v>0</v>
      </c>
      <c r="P18" s="50">
        <v>0</v>
      </c>
    </row>
    <row r="19" spans="2:16" ht="25.15" customHeight="1" thickBot="1" x14ac:dyDescent="0.3">
      <c r="B19" s="12" t="s">
        <v>173</v>
      </c>
      <c r="C19" s="21">
        <f t="shared" si="4"/>
        <v>1</v>
      </c>
      <c r="D19" s="21">
        <f t="shared" si="1"/>
        <v>0</v>
      </c>
      <c r="E19" s="16">
        <v>0</v>
      </c>
      <c r="F19" s="50">
        <v>0</v>
      </c>
      <c r="G19" s="16">
        <v>0</v>
      </c>
      <c r="H19" s="50">
        <v>0</v>
      </c>
      <c r="I19" s="16">
        <v>1</v>
      </c>
      <c r="J19" s="50">
        <v>0</v>
      </c>
      <c r="K19" s="16">
        <v>0</v>
      </c>
      <c r="L19" s="50">
        <v>0</v>
      </c>
      <c r="M19" s="16">
        <v>0</v>
      </c>
      <c r="N19" s="50">
        <v>0</v>
      </c>
      <c r="O19" s="16">
        <v>0</v>
      </c>
      <c r="P19" s="50">
        <v>0</v>
      </c>
    </row>
    <row r="20" spans="2:16" ht="25.15" customHeight="1" thickBot="1" x14ac:dyDescent="0.3">
      <c r="B20" s="12" t="s">
        <v>174</v>
      </c>
      <c r="C20" s="21">
        <f t="shared" si="4"/>
        <v>0</v>
      </c>
      <c r="D20" s="21">
        <f t="shared" si="1"/>
        <v>0</v>
      </c>
      <c r="E20" s="16">
        <v>0</v>
      </c>
      <c r="F20" s="50">
        <v>0</v>
      </c>
      <c r="G20" s="16">
        <v>0</v>
      </c>
      <c r="H20" s="50">
        <v>0</v>
      </c>
      <c r="I20" s="16">
        <v>0</v>
      </c>
      <c r="J20" s="50">
        <v>0</v>
      </c>
      <c r="K20" s="16">
        <v>0</v>
      </c>
      <c r="L20" s="50">
        <v>0</v>
      </c>
      <c r="M20" s="16">
        <v>0</v>
      </c>
      <c r="N20" s="50">
        <v>0</v>
      </c>
      <c r="O20" s="16">
        <v>0</v>
      </c>
      <c r="P20" s="50">
        <v>0</v>
      </c>
    </row>
    <row r="21" spans="2:16" ht="25.15" customHeight="1" thickBot="1" x14ac:dyDescent="0.3">
      <c r="B21" s="12" t="s">
        <v>175</v>
      </c>
      <c r="C21" s="21">
        <f t="shared" si="4"/>
        <v>2</v>
      </c>
      <c r="D21" s="21">
        <f t="shared" si="1"/>
        <v>0</v>
      </c>
      <c r="E21" s="16">
        <v>0</v>
      </c>
      <c r="F21" s="50">
        <v>0</v>
      </c>
      <c r="G21" s="16">
        <v>2</v>
      </c>
      <c r="H21" s="50">
        <v>0</v>
      </c>
      <c r="I21" s="16">
        <v>0</v>
      </c>
      <c r="J21" s="50">
        <v>0</v>
      </c>
      <c r="K21" s="16">
        <v>0</v>
      </c>
      <c r="L21" s="50">
        <v>0</v>
      </c>
      <c r="M21" s="16">
        <v>0</v>
      </c>
      <c r="N21" s="50">
        <v>0</v>
      </c>
      <c r="O21" s="16">
        <v>0</v>
      </c>
      <c r="P21" s="50">
        <v>0</v>
      </c>
    </row>
    <row r="22" spans="2:16" ht="25.15" customHeight="1" thickBot="1" x14ac:dyDescent="0.3">
      <c r="B22" s="12" t="s">
        <v>176</v>
      </c>
      <c r="C22" s="21">
        <f t="shared" si="4"/>
        <v>3</v>
      </c>
      <c r="D22" s="21">
        <f t="shared" si="1"/>
        <v>0</v>
      </c>
      <c r="E22" s="16">
        <v>0</v>
      </c>
      <c r="F22" s="50">
        <v>0</v>
      </c>
      <c r="G22" s="16">
        <v>3</v>
      </c>
      <c r="H22" s="50">
        <v>0</v>
      </c>
      <c r="I22" s="16">
        <v>0</v>
      </c>
      <c r="J22" s="50">
        <v>0</v>
      </c>
      <c r="K22" s="16">
        <v>0</v>
      </c>
      <c r="L22" s="50">
        <v>0</v>
      </c>
      <c r="M22" s="16">
        <v>0</v>
      </c>
      <c r="N22" s="50">
        <v>0</v>
      </c>
      <c r="O22" s="16">
        <v>0</v>
      </c>
      <c r="P22" s="50">
        <v>0</v>
      </c>
    </row>
    <row r="23" spans="2:16" ht="25.15" customHeight="1" thickBot="1" x14ac:dyDescent="0.3">
      <c r="B23" s="12" t="s">
        <v>177</v>
      </c>
      <c r="C23" s="21">
        <f t="shared" si="4"/>
        <v>0</v>
      </c>
      <c r="D23" s="21">
        <f t="shared" si="4"/>
        <v>0</v>
      </c>
      <c r="E23" s="16">
        <v>0</v>
      </c>
      <c r="F23" s="50">
        <v>0</v>
      </c>
      <c r="G23" s="16">
        <v>0</v>
      </c>
      <c r="H23" s="50">
        <v>0</v>
      </c>
      <c r="I23" s="16">
        <v>0</v>
      </c>
      <c r="J23" s="50">
        <v>0</v>
      </c>
      <c r="K23" s="16">
        <v>0</v>
      </c>
      <c r="L23" s="50">
        <v>0</v>
      </c>
      <c r="M23" s="16">
        <v>0</v>
      </c>
      <c r="N23" s="50">
        <v>0</v>
      </c>
      <c r="O23" s="16">
        <v>0</v>
      </c>
      <c r="P23" s="50">
        <v>0</v>
      </c>
    </row>
    <row r="24" spans="2:16" ht="25.15" customHeight="1" thickBot="1" x14ac:dyDescent="0.3">
      <c r="B24" s="12" t="s">
        <v>178</v>
      </c>
      <c r="C24" s="21">
        <f t="shared" si="4"/>
        <v>0</v>
      </c>
      <c r="D24" s="21">
        <f t="shared" si="4"/>
        <v>0</v>
      </c>
      <c r="E24" s="16">
        <v>0</v>
      </c>
      <c r="F24" s="50">
        <v>0</v>
      </c>
      <c r="G24" s="16">
        <v>0</v>
      </c>
      <c r="H24" s="50">
        <v>0</v>
      </c>
      <c r="I24" s="16">
        <v>0</v>
      </c>
      <c r="J24" s="50">
        <v>0</v>
      </c>
      <c r="K24" s="16">
        <v>0</v>
      </c>
      <c r="L24" s="50">
        <v>0</v>
      </c>
      <c r="M24" s="16">
        <v>0</v>
      </c>
      <c r="N24" s="50">
        <v>0</v>
      </c>
      <c r="O24" s="16">
        <v>0</v>
      </c>
      <c r="P24" s="50">
        <v>0</v>
      </c>
    </row>
    <row r="25" spans="2:16" ht="25.15" customHeight="1" thickBot="1" x14ac:dyDescent="0.3">
      <c r="B25" s="12" t="s">
        <v>179</v>
      </c>
      <c r="C25" s="21">
        <f t="shared" si="4"/>
        <v>1</v>
      </c>
      <c r="D25" s="21">
        <f t="shared" si="4"/>
        <v>0</v>
      </c>
      <c r="E25" s="16">
        <v>0</v>
      </c>
      <c r="F25" s="50">
        <v>0</v>
      </c>
      <c r="G25" s="16">
        <v>1</v>
      </c>
      <c r="H25" s="50">
        <v>0</v>
      </c>
      <c r="I25" s="16">
        <v>0</v>
      </c>
      <c r="J25" s="50">
        <v>0</v>
      </c>
      <c r="K25" s="16">
        <v>0</v>
      </c>
      <c r="L25" s="50">
        <v>0</v>
      </c>
      <c r="M25" s="16">
        <v>0</v>
      </c>
      <c r="N25" s="50">
        <v>0</v>
      </c>
      <c r="O25" s="16">
        <v>0</v>
      </c>
      <c r="P25" s="50">
        <v>0</v>
      </c>
    </row>
    <row r="26" spans="2:16" ht="25.15" customHeight="1" thickBot="1" x14ac:dyDescent="0.3">
      <c r="B26" s="12" t="s">
        <v>180</v>
      </c>
      <c r="C26" s="21">
        <f t="shared" si="4"/>
        <v>0</v>
      </c>
      <c r="D26" s="21">
        <f t="shared" si="4"/>
        <v>0</v>
      </c>
      <c r="E26" s="16">
        <v>0</v>
      </c>
      <c r="F26" s="50">
        <v>0</v>
      </c>
      <c r="G26" s="16">
        <v>0</v>
      </c>
      <c r="H26" s="50">
        <v>0</v>
      </c>
      <c r="I26" s="16">
        <v>0</v>
      </c>
      <c r="J26" s="50">
        <v>0</v>
      </c>
      <c r="K26" s="16">
        <v>0</v>
      </c>
      <c r="L26" s="50">
        <v>0</v>
      </c>
      <c r="M26" s="16">
        <v>0</v>
      </c>
      <c r="N26" s="50">
        <v>0</v>
      </c>
      <c r="O26" s="16">
        <v>0</v>
      </c>
      <c r="P26" s="50">
        <v>0</v>
      </c>
    </row>
    <row r="27" spans="2:16" ht="25.15" customHeight="1" thickBot="1" x14ac:dyDescent="0.3">
      <c r="B27" s="12" t="s">
        <v>181</v>
      </c>
      <c r="C27" s="21">
        <f t="shared" si="4"/>
        <v>0</v>
      </c>
      <c r="D27" s="21">
        <f t="shared" si="4"/>
        <v>0</v>
      </c>
      <c r="E27" s="16">
        <v>0</v>
      </c>
      <c r="F27" s="50">
        <v>0</v>
      </c>
      <c r="G27" s="16">
        <v>0</v>
      </c>
      <c r="H27" s="50">
        <v>0</v>
      </c>
      <c r="I27" s="16">
        <v>0</v>
      </c>
      <c r="J27" s="50">
        <v>0</v>
      </c>
      <c r="K27" s="16">
        <v>0</v>
      </c>
      <c r="L27" s="50">
        <v>0</v>
      </c>
      <c r="M27" s="16">
        <v>0</v>
      </c>
      <c r="N27" s="50">
        <v>0</v>
      </c>
      <c r="O27" s="16">
        <v>0</v>
      </c>
      <c r="P27" s="50">
        <v>0</v>
      </c>
    </row>
    <row r="28" spans="2:16" ht="25.15" customHeight="1" thickBot="1" x14ac:dyDescent="0.3">
      <c r="B28" s="12" t="s">
        <v>182</v>
      </c>
      <c r="C28" s="21">
        <f t="shared" si="4"/>
        <v>1</v>
      </c>
      <c r="D28" s="21">
        <f t="shared" si="4"/>
        <v>0</v>
      </c>
      <c r="E28" s="16">
        <v>0</v>
      </c>
      <c r="F28" s="50">
        <v>0</v>
      </c>
      <c r="G28" s="16">
        <v>0</v>
      </c>
      <c r="H28" s="50">
        <v>0</v>
      </c>
      <c r="I28" s="16">
        <v>0</v>
      </c>
      <c r="J28" s="50">
        <v>0</v>
      </c>
      <c r="K28" s="16">
        <v>1</v>
      </c>
      <c r="L28" s="50">
        <v>0</v>
      </c>
      <c r="M28" s="16">
        <v>0</v>
      </c>
      <c r="N28" s="50">
        <v>0</v>
      </c>
      <c r="O28" s="16">
        <v>0</v>
      </c>
      <c r="P28" s="50">
        <v>0</v>
      </c>
    </row>
    <row r="29" spans="2:16" ht="25.15" customHeight="1" thickBot="1" x14ac:dyDescent="0.3">
      <c r="B29" s="12" t="s">
        <v>183</v>
      </c>
      <c r="C29" s="21">
        <f t="shared" si="4"/>
        <v>2</v>
      </c>
      <c r="D29" s="21">
        <f t="shared" si="4"/>
        <v>0</v>
      </c>
      <c r="E29" s="16">
        <v>0</v>
      </c>
      <c r="F29" s="50">
        <v>0</v>
      </c>
      <c r="G29" s="16">
        <v>2</v>
      </c>
      <c r="H29" s="50">
        <v>0</v>
      </c>
      <c r="I29" s="16">
        <v>0</v>
      </c>
      <c r="J29" s="50">
        <v>0</v>
      </c>
      <c r="K29" s="16">
        <v>0</v>
      </c>
      <c r="L29" s="50">
        <v>0</v>
      </c>
      <c r="M29" s="16">
        <v>0</v>
      </c>
      <c r="N29" s="50">
        <v>0</v>
      </c>
      <c r="O29" s="16">
        <v>0</v>
      </c>
      <c r="P29" s="50">
        <v>0</v>
      </c>
    </row>
    <row r="30" spans="2:16" ht="25.15" customHeight="1" thickBot="1" x14ac:dyDescent="0.3">
      <c r="B30" s="12" t="s">
        <v>184</v>
      </c>
      <c r="C30" s="21">
        <f t="shared" si="4"/>
        <v>2</v>
      </c>
      <c r="D30" s="21">
        <f t="shared" si="4"/>
        <v>0</v>
      </c>
      <c r="E30" s="16">
        <v>2</v>
      </c>
      <c r="F30" s="50">
        <v>0</v>
      </c>
      <c r="G30" s="16">
        <v>0</v>
      </c>
      <c r="H30" s="50">
        <v>0</v>
      </c>
      <c r="I30" s="16">
        <v>0</v>
      </c>
      <c r="J30" s="50">
        <v>0</v>
      </c>
      <c r="K30" s="16">
        <v>0</v>
      </c>
      <c r="L30" s="50">
        <v>0</v>
      </c>
      <c r="M30" s="16">
        <v>0</v>
      </c>
      <c r="N30" s="50">
        <v>0</v>
      </c>
      <c r="O30" s="16">
        <v>0</v>
      </c>
      <c r="P30" s="50">
        <v>0</v>
      </c>
    </row>
    <row r="31" spans="2:16" ht="25.15" customHeight="1" thickBot="1" x14ac:dyDescent="0.3">
      <c r="B31" s="12" t="s">
        <v>185</v>
      </c>
      <c r="C31" s="21">
        <f t="shared" si="4"/>
        <v>9</v>
      </c>
      <c r="D31" s="21">
        <f t="shared" si="4"/>
        <v>0</v>
      </c>
      <c r="E31" s="16">
        <v>0</v>
      </c>
      <c r="F31" s="50">
        <v>0</v>
      </c>
      <c r="G31" s="16">
        <v>7</v>
      </c>
      <c r="H31" s="50">
        <v>0</v>
      </c>
      <c r="I31" s="16">
        <v>1</v>
      </c>
      <c r="J31" s="50">
        <v>0</v>
      </c>
      <c r="K31" s="16">
        <v>1</v>
      </c>
      <c r="L31" s="50">
        <v>0</v>
      </c>
      <c r="M31" s="16">
        <v>0</v>
      </c>
      <c r="N31" s="50">
        <v>0</v>
      </c>
      <c r="O31" s="16">
        <v>0</v>
      </c>
      <c r="P31" s="50">
        <v>0</v>
      </c>
    </row>
    <row r="32" spans="2:16" ht="24.6" customHeight="1" thickBot="1" x14ac:dyDescent="0.3">
      <c r="B32" s="13" t="s">
        <v>189</v>
      </c>
      <c r="C32" s="19">
        <f>SUM(C33:C36)</f>
        <v>0</v>
      </c>
      <c r="D32" s="19">
        <f t="shared" ref="D32" si="5">SUM(D33:D36)</f>
        <v>0</v>
      </c>
      <c r="E32" s="19">
        <f t="shared" ref="E32" si="6">SUM(E33:E36)</f>
        <v>0</v>
      </c>
      <c r="F32" s="19">
        <f t="shared" ref="F32" si="7">SUM(F33:F36)</f>
        <v>0</v>
      </c>
      <c r="G32" s="19">
        <f t="shared" ref="G32" si="8">SUM(G33:G36)</f>
        <v>0</v>
      </c>
      <c r="H32" s="19">
        <f t="shared" ref="H32" si="9">SUM(H33:H36)</f>
        <v>0</v>
      </c>
      <c r="I32" s="19">
        <f t="shared" ref="I32" si="10">SUM(I33:I36)</f>
        <v>0</v>
      </c>
      <c r="J32" s="19">
        <f t="shared" ref="J32" si="11">SUM(J33:J36)</f>
        <v>0</v>
      </c>
      <c r="K32" s="19">
        <f t="shared" ref="K32" si="12">SUM(K33:K36)</f>
        <v>0</v>
      </c>
      <c r="L32" s="19">
        <f t="shared" ref="L32" si="13">SUM(L33:L36)</f>
        <v>0</v>
      </c>
      <c r="M32" s="19">
        <f t="shared" ref="M32" si="14">SUM(M33:M36)</f>
        <v>0</v>
      </c>
      <c r="N32" s="19">
        <f t="shared" ref="N32" si="15">SUM(N33:N36)</f>
        <v>0</v>
      </c>
      <c r="O32" s="19">
        <f t="shared" ref="O32" si="16">SUM(O33:O36)</f>
        <v>0</v>
      </c>
      <c r="P32" s="19">
        <f t="shared" ref="P32" si="17">SUM(P33:P36)</f>
        <v>0</v>
      </c>
    </row>
    <row r="33" spans="2:16" ht="19.899999999999999" customHeight="1" thickBot="1" x14ac:dyDescent="0.3">
      <c r="B33" s="12" t="s">
        <v>190</v>
      </c>
      <c r="C33" s="21">
        <f t="shared" si="4"/>
        <v>0</v>
      </c>
      <c r="D33" s="21">
        <f t="shared" si="4"/>
        <v>0</v>
      </c>
      <c r="E33" s="16">
        <v>0</v>
      </c>
      <c r="F33" s="16">
        <v>0</v>
      </c>
      <c r="G33" s="16">
        <v>0</v>
      </c>
      <c r="H33" s="16">
        <v>0</v>
      </c>
      <c r="I33" s="16">
        <v>0</v>
      </c>
      <c r="J33" s="16">
        <v>0</v>
      </c>
      <c r="K33" s="16">
        <v>0</v>
      </c>
      <c r="L33" s="16">
        <v>0</v>
      </c>
      <c r="M33" s="16">
        <v>0</v>
      </c>
      <c r="N33" s="16">
        <v>0</v>
      </c>
      <c r="O33" s="16">
        <v>0</v>
      </c>
      <c r="P33" s="16">
        <v>0</v>
      </c>
    </row>
    <row r="34" spans="2:16" ht="19.899999999999999" customHeight="1" thickBot="1" x14ac:dyDescent="0.3">
      <c r="B34" s="12" t="s">
        <v>191</v>
      </c>
      <c r="C34" s="21">
        <f t="shared" si="4"/>
        <v>0</v>
      </c>
      <c r="D34" s="21">
        <f t="shared" si="4"/>
        <v>0</v>
      </c>
      <c r="E34" s="16">
        <v>0</v>
      </c>
      <c r="F34" s="16">
        <v>0</v>
      </c>
      <c r="G34" s="16">
        <v>0</v>
      </c>
      <c r="H34" s="16">
        <v>0</v>
      </c>
      <c r="I34" s="16">
        <v>0</v>
      </c>
      <c r="J34" s="16">
        <v>0</v>
      </c>
      <c r="K34" s="16">
        <v>0</v>
      </c>
      <c r="L34" s="16">
        <v>0</v>
      </c>
      <c r="M34" s="16">
        <v>0</v>
      </c>
      <c r="N34" s="16">
        <v>0</v>
      </c>
      <c r="O34" s="16">
        <v>0</v>
      </c>
      <c r="P34" s="16">
        <v>0</v>
      </c>
    </row>
    <row r="35" spans="2:16" ht="19.899999999999999" customHeight="1" thickBot="1" x14ac:dyDescent="0.3">
      <c r="B35" s="12" t="s">
        <v>192</v>
      </c>
      <c r="C35" s="21">
        <f t="shared" si="4"/>
        <v>0</v>
      </c>
      <c r="D35" s="21">
        <f t="shared" si="4"/>
        <v>0</v>
      </c>
      <c r="E35" s="16">
        <v>0</v>
      </c>
      <c r="F35" s="16">
        <v>0</v>
      </c>
      <c r="G35" s="16">
        <v>0</v>
      </c>
      <c r="H35" s="16">
        <v>0</v>
      </c>
      <c r="I35" s="16">
        <v>0</v>
      </c>
      <c r="J35" s="16">
        <v>0</v>
      </c>
      <c r="K35" s="16">
        <v>0</v>
      </c>
      <c r="L35" s="16">
        <v>0</v>
      </c>
      <c r="M35" s="16">
        <v>0</v>
      </c>
      <c r="N35" s="16">
        <v>0</v>
      </c>
      <c r="O35" s="16">
        <v>0</v>
      </c>
      <c r="P35" s="16">
        <v>0</v>
      </c>
    </row>
    <row r="36" spans="2:16" ht="19.899999999999999" customHeight="1" thickBot="1" x14ac:dyDescent="0.3">
      <c r="B36" s="12" t="s">
        <v>193</v>
      </c>
      <c r="C36" s="21">
        <f t="shared" si="4"/>
        <v>0</v>
      </c>
      <c r="D36" s="21">
        <f t="shared" si="4"/>
        <v>0</v>
      </c>
      <c r="E36" s="16">
        <v>0</v>
      </c>
      <c r="F36" s="16">
        <v>0</v>
      </c>
      <c r="G36" s="16">
        <v>0</v>
      </c>
      <c r="H36" s="16">
        <v>0</v>
      </c>
      <c r="I36" s="16">
        <v>0</v>
      </c>
      <c r="J36" s="16">
        <v>0</v>
      </c>
      <c r="K36" s="16">
        <v>0</v>
      </c>
      <c r="L36" s="16">
        <v>0</v>
      </c>
      <c r="M36" s="16">
        <v>0</v>
      </c>
      <c r="N36" s="16">
        <v>0</v>
      </c>
      <c r="O36" s="16">
        <v>0</v>
      </c>
      <c r="P36" s="16">
        <v>0</v>
      </c>
    </row>
    <row r="37" spans="2:16" ht="21.6" customHeight="1" thickBot="1" x14ac:dyDescent="0.3">
      <c r="B37" s="13" t="s">
        <v>194</v>
      </c>
      <c r="C37" s="19">
        <f>SUM(C38:C43)</f>
        <v>9</v>
      </c>
      <c r="D37" s="19">
        <f t="shared" ref="D37:P37" si="18">SUM(D38:D43)</f>
        <v>0</v>
      </c>
      <c r="E37" s="19">
        <f t="shared" si="18"/>
        <v>0</v>
      </c>
      <c r="F37" s="19">
        <f t="shared" si="18"/>
        <v>0</v>
      </c>
      <c r="G37" s="19">
        <f t="shared" si="18"/>
        <v>4</v>
      </c>
      <c r="H37" s="19">
        <f t="shared" si="18"/>
        <v>0</v>
      </c>
      <c r="I37" s="19">
        <f t="shared" si="18"/>
        <v>1</v>
      </c>
      <c r="J37" s="19">
        <f t="shared" si="18"/>
        <v>0</v>
      </c>
      <c r="K37" s="19">
        <f t="shared" si="18"/>
        <v>2</v>
      </c>
      <c r="L37" s="19">
        <f t="shared" si="18"/>
        <v>0</v>
      </c>
      <c r="M37" s="19">
        <f t="shared" si="18"/>
        <v>1</v>
      </c>
      <c r="N37" s="19">
        <f t="shared" si="18"/>
        <v>0</v>
      </c>
      <c r="O37" s="19">
        <f t="shared" si="18"/>
        <v>1</v>
      </c>
      <c r="P37" s="19">
        <f t="shared" si="18"/>
        <v>0</v>
      </c>
    </row>
    <row r="38" spans="2:16" ht="36.6" customHeight="1" thickBot="1" x14ac:dyDescent="0.3">
      <c r="B38" s="12" t="s">
        <v>200</v>
      </c>
      <c r="C38" s="21">
        <f t="shared" ref="C38:C51" si="19">SUM(E38,G38,I38,K38,M38,O38)</f>
        <v>9</v>
      </c>
      <c r="D38" s="21">
        <f t="shared" ref="D38:D55" si="20">SUM(F38,H38,J38,L38,N38,P38)</f>
        <v>0</v>
      </c>
      <c r="E38" s="16">
        <v>0</v>
      </c>
      <c r="F38" s="50">
        <v>0</v>
      </c>
      <c r="G38" s="16">
        <v>4</v>
      </c>
      <c r="H38" s="50">
        <v>0</v>
      </c>
      <c r="I38" s="16">
        <v>1</v>
      </c>
      <c r="J38" s="50">
        <v>0</v>
      </c>
      <c r="K38" s="16">
        <v>2</v>
      </c>
      <c r="L38" s="50">
        <v>0</v>
      </c>
      <c r="M38" s="16">
        <v>1</v>
      </c>
      <c r="N38" s="50">
        <v>0</v>
      </c>
      <c r="O38" s="16">
        <v>1</v>
      </c>
      <c r="P38" s="50">
        <v>0</v>
      </c>
    </row>
    <row r="39" spans="2:16" ht="21.6" customHeight="1" thickBot="1" x14ac:dyDescent="0.3">
      <c r="B39" s="12" t="s">
        <v>195</v>
      </c>
      <c r="C39" s="21">
        <f t="shared" si="19"/>
        <v>0</v>
      </c>
      <c r="D39" s="21">
        <f t="shared" si="20"/>
        <v>0</v>
      </c>
      <c r="E39" s="16">
        <v>0</v>
      </c>
      <c r="F39" s="50">
        <v>0</v>
      </c>
      <c r="G39" s="16">
        <v>0</v>
      </c>
      <c r="H39" s="50">
        <v>0</v>
      </c>
      <c r="I39" s="16">
        <v>0</v>
      </c>
      <c r="J39" s="50">
        <v>0</v>
      </c>
      <c r="K39" s="16">
        <v>0</v>
      </c>
      <c r="L39" s="50">
        <v>0</v>
      </c>
      <c r="M39" s="16">
        <v>0</v>
      </c>
      <c r="N39" s="50">
        <v>0</v>
      </c>
      <c r="O39" s="16">
        <v>0</v>
      </c>
      <c r="P39" s="50">
        <v>0</v>
      </c>
    </row>
    <row r="40" spans="2:16" ht="21.6" customHeight="1" thickBot="1" x14ac:dyDescent="0.3">
      <c r="B40" s="12" t="s">
        <v>196</v>
      </c>
      <c r="C40" s="21">
        <f t="shared" si="19"/>
        <v>0</v>
      </c>
      <c r="D40" s="21">
        <f t="shared" si="20"/>
        <v>0</v>
      </c>
      <c r="E40" s="16">
        <v>0</v>
      </c>
      <c r="F40" s="50">
        <v>0</v>
      </c>
      <c r="G40" s="16">
        <v>0</v>
      </c>
      <c r="H40" s="50">
        <v>0</v>
      </c>
      <c r="I40" s="16">
        <v>0</v>
      </c>
      <c r="J40" s="50">
        <v>0</v>
      </c>
      <c r="K40" s="16">
        <v>0</v>
      </c>
      <c r="L40" s="50">
        <v>0</v>
      </c>
      <c r="M40" s="16">
        <v>0</v>
      </c>
      <c r="N40" s="50">
        <v>0</v>
      </c>
      <c r="O40" s="16">
        <v>0</v>
      </c>
      <c r="P40" s="50">
        <v>0</v>
      </c>
    </row>
    <row r="41" spans="2:16" ht="21.6" customHeight="1" thickBot="1" x14ac:dyDescent="0.3">
      <c r="B41" s="12" t="s">
        <v>197</v>
      </c>
      <c r="C41" s="21">
        <f t="shared" si="19"/>
        <v>0</v>
      </c>
      <c r="D41" s="21">
        <f t="shared" si="20"/>
        <v>0</v>
      </c>
      <c r="E41" s="16">
        <v>0</v>
      </c>
      <c r="F41" s="50">
        <v>0</v>
      </c>
      <c r="G41" s="16">
        <v>0</v>
      </c>
      <c r="H41" s="50">
        <v>0</v>
      </c>
      <c r="I41" s="16">
        <v>0</v>
      </c>
      <c r="J41" s="50">
        <v>0</v>
      </c>
      <c r="K41" s="16">
        <v>0</v>
      </c>
      <c r="L41" s="50">
        <v>0</v>
      </c>
      <c r="M41" s="16">
        <v>0</v>
      </c>
      <c r="N41" s="50">
        <v>0</v>
      </c>
      <c r="O41" s="16">
        <v>0</v>
      </c>
      <c r="P41" s="50">
        <v>0</v>
      </c>
    </row>
    <row r="42" spans="2:16" ht="21.6" customHeight="1" thickBot="1" x14ac:dyDescent="0.3">
      <c r="B42" s="12" t="s">
        <v>198</v>
      </c>
      <c r="C42" s="21">
        <f t="shared" si="19"/>
        <v>0</v>
      </c>
      <c r="D42" s="21">
        <f t="shared" si="20"/>
        <v>0</v>
      </c>
      <c r="E42" s="16">
        <v>0</v>
      </c>
      <c r="F42" s="50">
        <v>0</v>
      </c>
      <c r="G42" s="16">
        <v>0</v>
      </c>
      <c r="H42" s="50">
        <v>0</v>
      </c>
      <c r="I42" s="16">
        <v>0</v>
      </c>
      <c r="J42" s="50">
        <v>0</v>
      </c>
      <c r="K42" s="16">
        <v>0</v>
      </c>
      <c r="L42" s="50">
        <v>0</v>
      </c>
      <c r="M42" s="16">
        <v>0</v>
      </c>
      <c r="N42" s="50">
        <v>0</v>
      </c>
      <c r="O42" s="16">
        <v>0</v>
      </c>
      <c r="P42" s="50">
        <v>0</v>
      </c>
    </row>
    <row r="43" spans="2:16" ht="21.6" customHeight="1" thickBot="1" x14ac:dyDescent="0.3">
      <c r="B43" s="12" t="s">
        <v>199</v>
      </c>
      <c r="C43" s="21">
        <f t="shared" si="19"/>
        <v>0</v>
      </c>
      <c r="D43" s="21">
        <f t="shared" si="20"/>
        <v>0</v>
      </c>
      <c r="E43" s="16">
        <v>0</v>
      </c>
      <c r="F43" s="50">
        <v>0</v>
      </c>
      <c r="G43" s="16">
        <v>0</v>
      </c>
      <c r="H43" s="50">
        <v>0</v>
      </c>
      <c r="I43" s="16">
        <v>0</v>
      </c>
      <c r="J43" s="50">
        <v>0</v>
      </c>
      <c r="K43" s="16">
        <v>0</v>
      </c>
      <c r="L43" s="50">
        <v>0</v>
      </c>
      <c r="M43" s="16">
        <v>0</v>
      </c>
      <c r="N43" s="50">
        <v>0</v>
      </c>
      <c r="O43" s="16">
        <v>0</v>
      </c>
      <c r="P43" s="50">
        <v>0</v>
      </c>
    </row>
    <row r="44" spans="2:16" ht="24" customHeight="1" thickBot="1" x14ac:dyDescent="0.3">
      <c r="B44" s="13" t="s">
        <v>201</v>
      </c>
      <c r="C44" s="19">
        <f>SUM(C45:C46)</f>
        <v>9</v>
      </c>
      <c r="D44" s="19">
        <f t="shared" ref="D44:P44" si="21">SUM(D45:D46)</f>
        <v>0</v>
      </c>
      <c r="E44" s="19">
        <f t="shared" si="21"/>
        <v>0</v>
      </c>
      <c r="F44" s="19">
        <f t="shared" si="21"/>
        <v>0</v>
      </c>
      <c r="G44" s="19">
        <f t="shared" si="21"/>
        <v>3</v>
      </c>
      <c r="H44" s="19">
        <f t="shared" si="21"/>
        <v>0</v>
      </c>
      <c r="I44" s="19">
        <f t="shared" si="21"/>
        <v>1</v>
      </c>
      <c r="J44" s="19">
        <f t="shared" si="21"/>
        <v>0</v>
      </c>
      <c r="K44" s="19">
        <f t="shared" si="21"/>
        <v>3</v>
      </c>
      <c r="L44" s="19">
        <f t="shared" si="21"/>
        <v>0</v>
      </c>
      <c r="M44" s="19">
        <f t="shared" si="21"/>
        <v>1</v>
      </c>
      <c r="N44" s="19">
        <f t="shared" si="21"/>
        <v>0</v>
      </c>
      <c r="O44" s="19">
        <f t="shared" si="21"/>
        <v>1</v>
      </c>
      <c r="P44" s="19">
        <f t="shared" si="21"/>
        <v>0</v>
      </c>
    </row>
    <row r="45" spans="2:16" ht="36.6" customHeight="1" thickBot="1" x14ac:dyDescent="0.3">
      <c r="B45" s="12" t="s">
        <v>203</v>
      </c>
      <c r="C45" s="21">
        <f t="shared" si="19"/>
        <v>9</v>
      </c>
      <c r="D45" s="21">
        <f t="shared" si="20"/>
        <v>0</v>
      </c>
      <c r="E45" s="16">
        <v>0</v>
      </c>
      <c r="F45" s="50">
        <v>0</v>
      </c>
      <c r="G45" s="16">
        <v>3</v>
      </c>
      <c r="H45" s="50">
        <v>0</v>
      </c>
      <c r="I45" s="16">
        <v>1</v>
      </c>
      <c r="J45" s="50">
        <v>0</v>
      </c>
      <c r="K45" s="16">
        <v>3</v>
      </c>
      <c r="L45" s="50">
        <v>0</v>
      </c>
      <c r="M45" s="16">
        <v>1</v>
      </c>
      <c r="N45" s="50">
        <v>0</v>
      </c>
      <c r="O45" s="16">
        <v>1</v>
      </c>
      <c r="P45" s="50">
        <v>0</v>
      </c>
    </row>
    <row r="46" spans="2:16" ht="19.149999999999999" customHeight="1" thickBot="1" x14ac:dyDescent="0.3">
      <c r="B46" s="12" t="s">
        <v>202</v>
      </c>
      <c r="C46" s="21">
        <f t="shared" si="19"/>
        <v>0</v>
      </c>
      <c r="D46" s="21">
        <f t="shared" si="20"/>
        <v>0</v>
      </c>
      <c r="E46" s="16">
        <v>0</v>
      </c>
      <c r="F46" s="50">
        <v>0</v>
      </c>
      <c r="G46" s="16">
        <v>0</v>
      </c>
      <c r="H46" s="50">
        <v>0</v>
      </c>
      <c r="I46" s="16">
        <v>0</v>
      </c>
      <c r="J46" s="50">
        <v>0</v>
      </c>
      <c r="K46" s="16">
        <v>0</v>
      </c>
      <c r="L46" s="50">
        <v>0</v>
      </c>
      <c r="M46" s="16">
        <v>0</v>
      </c>
      <c r="N46" s="50">
        <v>0</v>
      </c>
      <c r="O46" s="16">
        <v>0</v>
      </c>
      <c r="P46" s="50">
        <v>0</v>
      </c>
    </row>
    <row r="47" spans="2:16" ht="21.6" customHeight="1" thickBot="1" x14ac:dyDescent="0.3">
      <c r="B47" s="13" t="s">
        <v>204</v>
      </c>
      <c r="C47" s="19">
        <f>SUM(C48:C51)</f>
        <v>0</v>
      </c>
      <c r="D47" s="19">
        <f t="shared" ref="D47" si="22">SUM(D48:D51)</f>
        <v>0</v>
      </c>
      <c r="E47" s="19">
        <f t="shared" ref="E47" si="23">SUM(E48:E51)</f>
        <v>0</v>
      </c>
      <c r="F47" s="19">
        <f t="shared" ref="F47" si="24">SUM(F48:F51)</f>
        <v>0</v>
      </c>
      <c r="G47" s="19">
        <f t="shared" ref="G47" si="25">SUM(G48:G51)</f>
        <v>0</v>
      </c>
      <c r="H47" s="19">
        <f t="shared" ref="H47" si="26">SUM(H48:H51)</f>
        <v>0</v>
      </c>
      <c r="I47" s="19">
        <f t="shared" ref="I47" si="27">SUM(I48:I51)</f>
        <v>0</v>
      </c>
      <c r="J47" s="19">
        <f t="shared" ref="J47" si="28">SUM(J48:J51)</f>
        <v>0</v>
      </c>
      <c r="K47" s="19">
        <f t="shared" ref="K47" si="29">SUM(K48:K51)</f>
        <v>0</v>
      </c>
      <c r="L47" s="19">
        <f t="shared" ref="L47" si="30">SUM(L48:L51)</f>
        <v>0</v>
      </c>
      <c r="M47" s="19">
        <f t="shared" ref="M47" si="31">SUM(M48:M51)</f>
        <v>0</v>
      </c>
      <c r="N47" s="19">
        <f t="shared" ref="N47" si="32">SUM(N48:N51)</f>
        <v>0</v>
      </c>
      <c r="O47" s="19">
        <f t="shared" ref="O47" si="33">SUM(O48:O51)</f>
        <v>0</v>
      </c>
      <c r="P47" s="19">
        <f t="shared" ref="P47" si="34">SUM(P48:P51)</f>
        <v>0</v>
      </c>
    </row>
    <row r="48" spans="2:16" ht="36.6" customHeight="1" thickBot="1" x14ac:dyDescent="0.3">
      <c r="B48" s="12" t="s">
        <v>205</v>
      </c>
      <c r="C48" s="21">
        <f t="shared" si="19"/>
        <v>0</v>
      </c>
      <c r="D48" s="21">
        <f t="shared" si="20"/>
        <v>0</v>
      </c>
      <c r="E48" s="16">
        <v>0</v>
      </c>
      <c r="F48" s="16">
        <v>0</v>
      </c>
      <c r="G48" s="16">
        <v>0</v>
      </c>
      <c r="H48" s="16">
        <v>0</v>
      </c>
      <c r="I48" s="16">
        <v>0</v>
      </c>
      <c r="J48" s="16">
        <v>0</v>
      </c>
      <c r="K48" s="16">
        <v>0</v>
      </c>
      <c r="L48" s="16">
        <v>0</v>
      </c>
      <c r="M48" s="16">
        <v>0</v>
      </c>
      <c r="N48" s="16">
        <v>0</v>
      </c>
      <c r="O48" s="16">
        <v>0</v>
      </c>
      <c r="P48" s="16">
        <v>0</v>
      </c>
    </row>
    <row r="49" spans="2:16" ht="36.6" customHeight="1" thickBot="1" x14ac:dyDescent="0.3">
      <c r="B49" s="12" t="s">
        <v>206</v>
      </c>
      <c r="C49" s="21">
        <f t="shared" si="19"/>
        <v>0</v>
      </c>
      <c r="D49" s="21">
        <f t="shared" si="20"/>
        <v>0</v>
      </c>
      <c r="E49" s="16">
        <v>0</v>
      </c>
      <c r="F49" s="16">
        <v>0</v>
      </c>
      <c r="G49" s="16">
        <v>0</v>
      </c>
      <c r="H49" s="16">
        <v>0</v>
      </c>
      <c r="I49" s="16">
        <v>0</v>
      </c>
      <c r="J49" s="16">
        <v>0</v>
      </c>
      <c r="K49" s="16">
        <v>0</v>
      </c>
      <c r="L49" s="16">
        <v>0</v>
      </c>
      <c r="M49" s="16">
        <v>0</v>
      </c>
      <c r="N49" s="16">
        <v>0</v>
      </c>
      <c r="O49" s="16">
        <v>0</v>
      </c>
      <c r="P49" s="16">
        <v>0</v>
      </c>
    </row>
    <row r="50" spans="2:16" ht="22.9" customHeight="1" thickBot="1" x14ac:dyDescent="0.3">
      <c r="B50" s="13" t="s">
        <v>207</v>
      </c>
      <c r="C50" s="19">
        <f t="shared" si="19"/>
        <v>0</v>
      </c>
      <c r="D50" s="19">
        <f t="shared" si="20"/>
        <v>0</v>
      </c>
      <c r="E50" s="19">
        <v>0</v>
      </c>
      <c r="F50" s="19">
        <v>0</v>
      </c>
      <c r="G50" s="19">
        <v>0</v>
      </c>
      <c r="H50" s="19">
        <v>0</v>
      </c>
      <c r="I50" s="19">
        <v>0</v>
      </c>
      <c r="J50" s="19">
        <v>0</v>
      </c>
      <c r="K50" s="19">
        <v>0</v>
      </c>
      <c r="L50" s="19">
        <v>0</v>
      </c>
      <c r="M50" s="19">
        <v>0</v>
      </c>
      <c r="N50" s="19">
        <v>0</v>
      </c>
      <c r="O50" s="19">
        <v>0</v>
      </c>
      <c r="P50" s="19">
        <v>0</v>
      </c>
    </row>
    <row r="51" spans="2:16" ht="22.9" customHeight="1" thickBot="1" x14ac:dyDescent="0.3">
      <c r="B51" s="24" t="s">
        <v>208</v>
      </c>
      <c r="C51" s="21">
        <f t="shared" si="19"/>
        <v>0</v>
      </c>
      <c r="D51" s="21">
        <f t="shared" si="20"/>
        <v>0</v>
      </c>
      <c r="E51" s="16">
        <v>0</v>
      </c>
      <c r="F51" s="16">
        <v>0</v>
      </c>
      <c r="G51" s="16">
        <v>0</v>
      </c>
      <c r="H51" s="16">
        <v>0</v>
      </c>
      <c r="I51" s="16">
        <v>0</v>
      </c>
      <c r="J51" s="16">
        <v>0</v>
      </c>
      <c r="K51" s="16">
        <v>0</v>
      </c>
      <c r="L51" s="16">
        <v>0</v>
      </c>
      <c r="M51" s="16">
        <v>0</v>
      </c>
      <c r="N51" s="16">
        <v>0</v>
      </c>
      <c r="O51" s="16">
        <v>0</v>
      </c>
      <c r="P51" s="16">
        <v>0</v>
      </c>
    </row>
    <row r="52" spans="2:16" ht="22.9" customHeight="1" thickBot="1" x14ac:dyDescent="0.3">
      <c r="B52" s="13" t="s">
        <v>673</v>
      </c>
      <c r="C52" s="19">
        <f t="shared" ref="C52:P55" si="35">SUM(E52,G52,I52,K52,M52,O52)</f>
        <v>0</v>
      </c>
      <c r="D52" s="19">
        <f t="shared" si="20"/>
        <v>0</v>
      </c>
      <c r="E52" s="19">
        <f t="shared" ref="E52:P55" si="36">SUM(G52,I52,K52,M52,O52,Q52)</f>
        <v>0</v>
      </c>
      <c r="F52" s="19">
        <f t="shared" ref="F52:P55" si="37">SUM(H52,J52,L52,N52,P52,R52)</f>
        <v>0</v>
      </c>
      <c r="G52" s="19">
        <f t="shared" ref="G52:P55" si="38">SUM(I52,K52,M52,O52,Q52,S52)</f>
        <v>0</v>
      </c>
      <c r="H52" s="19">
        <f t="shared" ref="H52:P55" si="39">SUM(J52,L52,N52,P52,R52,T52)</f>
        <v>0</v>
      </c>
      <c r="I52" s="19">
        <f t="shared" ref="I52:P55" si="40">SUM(K52,M52,O52,Q52,S52,U52)</f>
        <v>0</v>
      </c>
      <c r="J52" s="19">
        <f t="shared" ref="J52:P55" si="41">SUM(L52,N52,P52,R52,T52,V52)</f>
        <v>0</v>
      </c>
      <c r="K52" s="19">
        <f t="shared" ref="K52:P55" si="42">SUM(M52,O52,Q52,S52,U52,W52)</f>
        <v>0</v>
      </c>
      <c r="L52" s="19">
        <f t="shared" ref="L52:P55" si="43">SUM(N52,P52,R52,T52,V52,X52)</f>
        <v>0</v>
      </c>
      <c r="M52" s="19">
        <f t="shared" ref="M52:P55" si="44">SUM(O52,Q52,S52,U52,W52,Y52)</f>
        <v>0</v>
      </c>
      <c r="N52" s="19">
        <f t="shared" ref="N52:P55" si="45">SUM(P52,R52,T52,V52,X52,Z52)</f>
        <v>0</v>
      </c>
      <c r="O52" s="19">
        <f t="shared" ref="O52:P55" si="46">SUM(Q52,S52,U52,W52,Y52,AA52)</f>
        <v>0</v>
      </c>
      <c r="P52" s="19">
        <f t="shared" ref="P52:P55" si="47">SUM(R52,T52,V52,X52,Z52,AB52)</f>
        <v>0</v>
      </c>
    </row>
    <row r="53" spans="2:16" ht="22.9" customHeight="1" thickBot="1" x14ac:dyDescent="0.3">
      <c r="B53" s="286" t="s">
        <v>674</v>
      </c>
      <c r="C53" s="21">
        <f t="shared" si="35"/>
        <v>0</v>
      </c>
      <c r="D53" s="21">
        <f t="shared" si="20"/>
        <v>0</v>
      </c>
      <c r="E53" s="21">
        <f t="shared" si="36"/>
        <v>0</v>
      </c>
      <c r="F53" s="21">
        <f t="shared" si="37"/>
        <v>0</v>
      </c>
      <c r="G53" s="21">
        <f t="shared" si="38"/>
        <v>0</v>
      </c>
      <c r="H53" s="21">
        <f t="shared" si="39"/>
        <v>0</v>
      </c>
      <c r="I53" s="21">
        <f t="shared" si="40"/>
        <v>0</v>
      </c>
      <c r="J53" s="21">
        <f t="shared" si="41"/>
        <v>0</v>
      </c>
      <c r="K53" s="21">
        <f t="shared" si="42"/>
        <v>0</v>
      </c>
      <c r="L53" s="21">
        <f t="shared" si="43"/>
        <v>0</v>
      </c>
      <c r="M53" s="21">
        <f t="shared" si="44"/>
        <v>0</v>
      </c>
      <c r="N53" s="21">
        <f t="shared" si="45"/>
        <v>0</v>
      </c>
      <c r="O53" s="21">
        <f t="shared" si="46"/>
        <v>0</v>
      </c>
      <c r="P53" s="21">
        <f t="shared" si="47"/>
        <v>0</v>
      </c>
    </row>
    <row r="54" spans="2:16" ht="22.9" customHeight="1" thickBot="1" x14ac:dyDescent="0.3">
      <c r="B54" s="286" t="s">
        <v>675</v>
      </c>
      <c r="C54" s="21">
        <f t="shared" si="35"/>
        <v>0</v>
      </c>
      <c r="D54" s="21">
        <f t="shared" si="20"/>
        <v>0</v>
      </c>
      <c r="E54" s="21">
        <f t="shared" si="36"/>
        <v>0</v>
      </c>
      <c r="F54" s="21">
        <f t="shared" si="37"/>
        <v>0</v>
      </c>
      <c r="G54" s="21">
        <f t="shared" si="38"/>
        <v>0</v>
      </c>
      <c r="H54" s="21">
        <f t="shared" si="39"/>
        <v>0</v>
      </c>
      <c r="I54" s="21">
        <f t="shared" si="40"/>
        <v>0</v>
      </c>
      <c r="J54" s="21">
        <f t="shared" si="41"/>
        <v>0</v>
      </c>
      <c r="K54" s="21">
        <f t="shared" si="42"/>
        <v>0</v>
      </c>
      <c r="L54" s="21">
        <f t="shared" si="43"/>
        <v>0</v>
      </c>
      <c r="M54" s="21">
        <f t="shared" si="44"/>
        <v>0</v>
      </c>
      <c r="N54" s="21">
        <f t="shared" si="45"/>
        <v>0</v>
      </c>
      <c r="O54" s="21">
        <f t="shared" si="46"/>
        <v>0</v>
      </c>
      <c r="P54" s="21">
        <f t="shared" si="47"/>
        <v>0</v>
      </c>
    </row>
    <row r="55" spans="2:16" ht="22.9" customHeight="1" thickBot="1" x14ac:dyDescent="0.3">
      <c r="B55" s="286" t="s">
        <v>676</v>
      </c>
      <c r="C55" s="21">
        <f t="shared" si="35"/>
        <v>0</v>
      </c>
      <c r="D55" s="21">
        <f t="shared" si="20"/>
        <v>0</v>
      </c>
      <c r="E55" s="21">
        <f t="shared" si="36"/>
        <v>0</v>
      </c>
      <c r="F55" s="21">
        <f t="shared" si="37"/>
        <v>0</v>
      </c>
      <c r="G55" s="21">
        <f t="shared" si="38"/>
        <v>0</v>
      </c>
      <c r="H55" s="21">
        <f t="shared" si="39"/>
        <v>0</v>
      </c>
      <c r="I55" s="21">
        <f t="shared" si="40"/>
        <v>0</v>
      </c>
      <c r="J55" s="21">
        <f t="shared" si="41"/>
        <v>0</v>
      </c>
      <c r="K55" s="21">
        <f t="shared" si="42"/>
        <v>0</v>
      </c>
      <c r="L55" s="21">
        <f t="shared" si="43"/>
        <v>0</v>
      </c>
      <c r="M55" s="21">
        <f t="shared" si="44"/>
        <v>0</v>
      </c>
      <c r="N55" s="21">
        <f t="shared" si="45"/>
        <v>0</v>
      </c>
      <c r="O55" s="21">
        <f t="shared" si="46"/>
        <v>0</v>
      </c>
      <c r="P55" s="21">
        <f t="shared" si="47"/>
        <v>0</v>
      </c>
    </row>
    <row r="56" spans="2:16" ht="15.75" thickBot="1" x14ac:dyDescent="0.3">
      <c r="B56" s="72" t="s">
        <v>247</v>
      </c>
      <c r="C56" s="71">
        <f>SUM(C47+C44+C37+C32+C14+C9+C6)</f>
        <v>57</v>
      </c>
      <c r="D56" s="71">
        <f>SUM(D47+D44+D37+D32+D14+D9+D6)</f>
        <v>0</v>
      </c>
      <c r="E56" s="71">
        <f>SUM(E47+E44+E37+E32+E14+E9+E6)</f>
        <v>2</v>
      </c>
      <c r="F56" s="71">
        <f>SUM(F47+F44+F37+F32+F14+F9+F6)</f>
        <v>0</v>
      </c>
      <c r="G56" s="71">
        <f>SUM(G47+G44+G37+G32+G14+G9+G6)</f>
        <v>34</v>
      </c>
      <c r="H56" s="71">
        <f>SUM(H47+H44+H37+H32+H14+H9+H6)</f>
        <v>0</v>
      </c>
      <c r="I56" s="71">
        <f>SUM(I47+I44+I37+I32+I14+I9+I6)</f>
        <v>6</v>
      </c>
      <c r="J56" s="71">
        <f>SUM(J47+J44+J37+J32+J14+J9+J6)</f>
        <v>0</v>
      </c>
      <c r="K56" s="71">
        <f>SUM(K47+K44+K37+K32+K14+K9+K6)</f>
        <v>11</v>
      </c>
      <c r="L56" s="71">
        <f>SUM(L47+L44+L37+L32+L14+L9+L6)</f>
        <v>0</v>
      </c>
      <c r="M56" s="71">
        <f>SUM(M47+M44+M37+M32+M14+M9+M6)</f>
        <v>2</v>
      </c>
      <c r="N56" s="71">
        <f>SUM(N47+N44+N37+N32+N14+N9+N6)</f>
        <v>0</v>
      </c>
      <c r="O56" s="71">
        <f>SUM(O47+O44+O37+O32+O14+O9+O6)</f>
        <v>2</v>
      </c>
      <c r="P56" s="71">
        <f>SUM(P47+P44+P37+P32+P14+P9+P6)</f>
        <v>0</v>
      </c>
    </row>
  </sheetData>
  <mergeCells count="10">
    <mergeCell ref="B2:B4"/>
    <mergeCell ref="C2:P2"/>
    <mergeCell ref="C3:D3"/>
    <mergeCell ref="B5:P5"/>
    <mergeCell ref="E3:F3"/>
    <mergeCell ref="G3:H3"/>
    <mergeCell ref="I3:J3"/>
    <mergeCell ref="K3:L3"/>
    <mergeCell ref="M3:N3"/>
    <mergeCell ref="O3:P3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02"/>
  <sheetViews>
    <sheetView zoomScale="90" zoomScaleNormal="90" workbookViewId="0">
      <selection activeCell="A40" sqref="A40"/>
    </sheetView>
  </sheetViews>
  <sheetFormatPr defaultRowHeight="15" x14ac:dyDescent="0.25"/>
  <cols>
    <col min="1" max="1" width="23.28515625" customWidth="1"/>
  </cols>
  <sheetData>
    <row r="1" spans="1:3" ht="39.6" customHeight="1" x14ac:dyDescent="0.25">
      <c r="A1" s="205" t="s">
        <v>103</v>
      </c>
      <c r="B1" s="225" t="s">
        <v>16</v>
      </c>
      <c r="C1" s="226"/>
    </row>
    <row r="2" spans="1:3" ht="15.75" thickBot="1" x14ac:dyDescent="0.3">
      <c r="A2" s="219"/>
      <c r="B2" s="227"/>
      <c r="C2" s="228"/>
    </row>
    <row r="3" spans="1:3" ht="15.75" thickBot="1" x14ac:dyDescent="0.3">
      <c r="A3" s="206"/>
      <c r="B3" s="75" t="s">
        <v>124</v>
      </c>
      <c r="C3" s="75" t="s">
        <v>228</v>
      </c>
    </row>
    <row r="4" spans="1:3" ht="15" customHeight="1" thickBot="1" x14ac:dyDescent="0.3">
      <c r="A4" s="8" t="s">
        <v>113</v>
      </c>
      <c r="B4" s="7">
        <f>SUM(B5:B15)</f>
        <v>14</v>
      </c>
      <c r="C4" s="7">
        <f>SUM(C5:C15)</f>
        <v>0</v>
      </c>
    </row>
    <row r="5" spans="1:3" ht="15.75" thickBot="1" x14ac:dyDescent="0.3">
      <c r="A5" s="9" t="s">
        <v>18</v>
      </c>
      <c r="B5" s="1">
        <v>4</v>
      </c>
      <c r="C5" s="1"/>
    </row>
    <row r="6" spans="1:3" ht="15.75" thickBot="1" x14ac:dyDescent="0.3">
      <c r="A6" s="9" t="s">
        <v>19</v>
      </c>
      <c r="B6" s="1">
        <v>2</v>
      </c>
      <c r="C6" s="1"/>
    </row>
    <row r="7" spans="1:3" ht="15.75" thickBot="1" x14ac:dyDescent="0.3">
      <c r="A7" s="9" t="s">
        <v>20</v>
      </c>
      <c r="B7" s="1">
        <v>1</v>
      </c>
      <c r="C7" s="1"/>
    </row>
    <row r="8" spans="1:3" ht="15.75" thickBot="1" x14ac:dyDescent="0.3">
      <c r="A8" s="9" t="s">
        <v>21</v>
      </c>
      <c r="B8" s="1">
        <v>1</v>
      </c>
      <c r="C8" s="1"/>
    </row>
    <row r="9" spans="1:3" ht="15.75" thickBot="1" x14ac:dyDescent="0.3">
      <c r="A9" s="9" t="s">
        <v>22</v>
      </c>
      <c r="B9" s="1">
        <v>2</v>
      </c>
      <c r="C9" s="1"/>
    </row>
    <row r="10" spans="1:3" ht="15.75" thickBot="1" x14ac:dyDescent="0.3">
      <c r="A10" s="9" t="s">
        <v>23</v>
      </c>
      <c r="B10" s="1">
        <v>2</v>
      </c>
      <c r="C10" s="1"/>
    </row>
    <row r="11" spans="1:3" ht="15.75" thickBot="1" x14ac:dyDescent="0.3">
      <c r="A11" s="9" t="s">
        <v>24</v>
      </c>
      <c r="B11" s="1">
        <v>2</v>
      </c>
      <c r="C11" s="1"/>
    </row>
    <row r="12" spans="1:3" ht="15.75" thickBot="1" x14ac:dyDescent="0.3">
      <c r="A12" s="9" t="s">
        <v>25</v>
      </c>
      <c r="B12" s="1">
        <v>0</v>
      </c>
      <c r="C12" s="1"/>
    </row>
    <row r="13" spans="1:3" ht="15.75" thickBot="1" x14ac:dyDescent="0.3">
      <c r="A13" s="9" t="s">
        <v>26</v>
      </c>
      <c r="B13" s="1">
        <v>0</v>
      </c>
      <c r="C13" s="1"/>
    </row>
    <row r="14" spans="1:3" ht="26.25" thickBot="1" x14ac:dyDescent="0.3">
      <c r="A14" s="9" t="s">
        <v>27</v>
      </c>
      <c r="B14" s="1">
        <v>0</v>
      </c>
      <c r="C14" s="1"/>
    </row>
    <row r="15" spans="1:3" ht="26.25" thickBot="1" x14ac:dyDescent="0.3">
      <c r="A15" s="9" t="s">
        <v>28</v>
      </c>
      <c r="B15" s="1">
        <v>0</v>
      </c>
      <c r="C15" s="1"/>
    </row>
    <row r="16" spans="1:3" ht="15.75" thickBot="1" x14ac:dyDescent="0.3">
      <c r="A16" s="10" t="s">
        <v>115</v>
      </c>
      <c r="B16" s="7">
        <f>SUM(B17:B26)</f>
        <v>6</v>
      </c>
      <c r="C16" s="7">
        <f t="shared" ref="C16" si="0">SUM(C17:C26)</f>
        <v>0</v>
      </c>
    </row>
    <row r="17" spans="1:3" ht="15.75" thickBot="1" x14ac:dyDescent="0.3">
      <c r="A17" s="9" t="s">
        <v>29</v>
      </c>
      <c r="B17" s="2">
        <v>0</v>
      </c>
      <c r="C17" s="2"/>
    </row>
    <row r="18" spans="1:3" ht="15.75" thickBot="1" x14ac:dyDescent="0.3">
      <c r="A18" s="9" t="s">
        <v>30</v>
      </c>
      <c r="B18" s="2">
        <v>4</v>
      </c>
      <c r="C18" s="2"/>
    </row>
    <row r="19" spans="1:3" ht="15.75" thickBot="1" x14ac:dyDescent="0.3">
      <c r="A19" s="9" t="s">
        <v>31</v>
      </c>
      <c r="B19" s="2">
        <v>0</v>
      </c>
      <c r="C19" s="2"/>
    </row>
    <row r="20" spans="1:3" ht="15.75" thickBot="1" x14ac:dyDescent="0.3">
      <c r="A20" s="11" t="s">
        <v>32</v>
      </c>
      <c r="B20" s="2">
        <v>0</v>
      </c>
      <c r="C20" s="2"/>
    </row>
    <row r="21" spans="1:3" ht="15.75" thickBot="1" x14ac:dyDescent="0.3">
      <c r="A21" s="9" t="s">
        <v>33</v>
      </c>
      <c r="B21" s="2">
        <v>0</v>
      </c>
      <c r="C21" s="2"/>
    </row>
    <row r="22" spans="1:3" ht="15.75" thickBot="1" x14ac:dyDescent="0.3">
      <c r="A22" s="9" t="s">
        <v>34</v>
      </c>
      <c r="B22" s="2">
        <v>2</v>
      </c>
      <c r="C22" s="2"/>
    </row>
    <row r="23" spans="1:3" ht="26.25" thickBot="1" x14ac:dyDescent="0.3">
      <c r="A23" s="9" t="s">
        <v>35</v>
      </c>
      <c r="B23" s="2">
        <v>0</v>
      </c>
      <c r="C23" s="2"/>
    </row>
    <row r="24" spans="1:3" ht="15.75" thickBot="1" x14ac:dyDescent="0.3">
      <c r="A24" s="9" t="s">
        <v>36</v>
      </c>
      <c r="B24" s="2">
        <v>0</v>
      </c>
      <c r="C24" s="2"/>
    </row>
    <row r="25" spans="1:3" ht="15.75" thickBot="1" x14ac:dyDescent="0.3">
      <c r="A25" s="9" t="s">
        <v>37</v>
      </c>
      <c r="B25" s="2">
        <v>0</v>
      </c>
      <c r="C25" s="2"/>
    </row>
    <row r="26" spans="1:3" ht="15.75" thickBot="1" x14ac:dyDescent="0.3">
      <c r="A26" s="9" t="s">
        <v>38</v>
      </c>
      <c r="B26" s="2">
        <v>0</v>
      </c>
      <c r="C26" s="2"/>
    </row>
    <row r="27" spans="1:3" ht="15.75" thickBot="1" x14ac:dyDescent="0.3">
      <c r="A27" s="10" t="s">
        <v>116</v>
      </c>
      <c r="B27" s="7">
        <f>SUM(B28:B33)</f>
        <v>4</v>
      </c>
      <c r="C27" s="7">
        <f t="shared" ref="C27" si="1">SUM(C28:C33)</f>
        <v>0</v>
      </c>
    </row>
    <row r="28" spans="1:3" ht="15.75" thickBot="1" x14ac:dyDescent="0.3">
      <c r="A28" s="9" t="s">
        <v>39</v>
      </c>
      <c r="B28" s="2">
        <v>1</v>
      </c>
      <c r="C28" s="2"/>
    </row>
    <row r="29" spans="1:3" ht="15.75" thickBot="1" x14ac:dyDescent="0.3">
      <c r="A29" s="9" t="s">
        <v>40</v>
      </c>
      <c r="B29" s="2">
        <v>1</v>
      </c>
      <c r="C29" s="2"/>
    </row>
    <row r="30" spans="1:3" ht="15.75" thickBot="1" x14ac:dyDescent="0.3">
      <c r="A30" s="9" t="s">
        <v>41</v>
      </c>
      <c r="B30" s="2">
        <v>0</v>
      </c>
      <c r="C30" s="2"/>
    </row>
    <row r="31" spans="1:3" ht="15.75" thickBot="1" x14ac:dyDescent="0.3">
      <c r="A31" s="9" t="s">
        <v>42</v>
      </c>
      <c r="B31" s="2">
        <v>0</v>
      </c>
      <c r="C31" s="2"/>
    </row>
    <row r="32" spans="1:3" ht="26.25" thickBot="1" x14ac:dyDescent="0.3">
      <c r="A32" s="9" t="s">
        <v>43</v>
      </c>
      <c r="B32" s="2">
        <v>2</v>
      </c>
      <c r="C32" s="2"/>
    </row>
    <row r="33" spans="1:3" ht="26.25" thickBot="1" x14ac:dyDescent="0.3">
      <c r="A33" s="9" t="s">
        <v>44</v>
      </c>
      <c r="B33" s="2">
        <v>0</v>
      </c>
      <c r="C33" s="2"/>
    </row>
    <row r="34" spans="1:3" ht="15.75" thickBot="1" x14ac:dyDescent="0.3">
      <c r="A34" s="8" t="s">
        <v>117</v>
      </c>
      <c r="B34" s="7">
        <f>SUM(B35:B48)</f>
        <v>13</v>
      </c>
      <c r="C34" s="7">
        <f>SUM(C35:C48)</f>
        <v>0</v>
      </c>
    </row>
    <row r="35" spans="1:3" ht="15.75" thickBot="1" x14ac:dyDescent="0.3">
      <c r="A35" s="11" t="s">
        <v>45</v>
      </c>
      <c r="B35" s="2">
        <v>2</v>
      </c>
      <c r="C35" s="2"/>
    </row>
    <row r="36" spans="1:3" ht="15.75" thickBot="1" x14ac:dyDescent="0.3">
      <c r="A36" s="11" t="s">
        <v>46</v>
      </c>
      <c r="B36" s="2">
        <v>2</v>
      </c>
      <c r="C36" s="2"/>
    </row>
    <row r="37" spans="1:3" ht="15.75" thickBot="1" x14ac:dyDescent="0.3">
      <c r="A37" s="11" t="s">
        <v>47</v>
      </c>
      <c r="B37" s="2">
        <v>0</v>
      </c>
      <c r="C37" s="2"/>
    </row>
    <row r="38" spans="1:3" ht="15.75" thickBot="1" x14ac:dyDescent="0.3">
      <c r="A38" s="11" t="s">
        <v>48</v>
      </c>
      <c r="B38" s="2">
        <v>0</v>
      </c>
      <c r="C38" s="2"/>
    </row>
    <row r="39" spans="1:3" ht="15.75" thickBot="1" x14ac:dyDescent="0.3">
      <c r="A39" s="11" t="s">
        <v>49</v>
      </c>
      <c r="B39" s="2">
        <v>0</v>
      </c>
      <c r="C39" s="2"/>
    </row>
    <row r="40" spans="1:3" ht="26.25" thickBot="1" x14ac:dyDescent="0.3">
      <c r="A40" s="9" t="s">
        <v>618</v>
      </c>
      <c r="B40" s="2">
        <v>2</v>
      </c>
      <c r="C40" s="2"/>
    </row>
    <row r="41" spans="1:3" ht="15.75" thickBot="1" x14ac:dyDescent="0.3">
      <c r="A41" s="11" t="s">
        <v>51</v>
      </c>
      <c r="B41" s="2">
        <v>0</v>
      </c>
      <c r="C41" s="2"/>
    </row>
    <row r="42" spans="1:3" ht="15.75" thickBot="1" x14ac:dyDescent="0.3">
      <c r="A42" s="11" t="s">
        <v>52</v>
      </c>
      <c r="B42" s="2">
        <v>0</v>
      </c>
      <c r="C42" s="2"/>
    </row>
    <row r="43" spans="1:3" ht="15.75" thickBot="1" x14ac:dyDescent="0.3">
      <c r="A43" s="11" t="s">
        <v>53</v>
      </c>
      <c r="B43" s="2">
        <v>2</v>
      </c>
      <c r="C43" s="2"/>
    </row>
    <row r="44" spans="1:3" ht="15.75" thickBot="1" x14ac:dyDescent="0.3">
      <c r="A44" s="11" t="s">
        <v>54</v>
      </c>
      <c r="B44" s="2">
        <v>1</v>
      </c>
      <c r="C44" s="2"/>
    </row>
    <row r="45" spans="1:3" ht="15.75" thickBot="1" x14ac:dyDescent="0.3">
      <c r="A45" s="11" t="s">
        <v>55</v>
      </c>
      <c r="B45" s="2">
        <v>1</v>
      </c>
      <c r="C45" s="2"/>
    </row>
    <row r="46" spans="1:3" ht="15.75" thickBot="1" x14ac:dyDescent="0.3">
      <c r="A46" s="11" t="s">
        <v>56</v>
      </c>
      <c r="B46" s="2">
        <v>3</v>
      </c>
      <c r="C46" s="2"/>
    </row>
    <row r="47" spans="1:3" ht="15.75" thickBot="1" x14ac:dyDescent="0.3">
      <c r="A47" s="11" t="s">
        <v>57</v>
      </c>
      <c r="B47" s="2">
        <v>0</v>
      </c>
      <c r="C47" s="2"/>
    </row>
    <row r="48" spans="1:3" ht="15.75" thickBot="1" x14ac:dyDescent="0.3">
      <c r="A48" s="11" t="s">
        <v>58</v>
      </c>
      <c r="B48" s="2">
        <v>0</v>
      </c>
      <c r="C48" s="2"/>
    </row>
    <row r="49" spans="1:3" ht="15.75" thickBot="1" x14ac:dyDescent="0.3">
      <c r="A49" s="8" t="s">
        <v>118</v>
      </c>
      <c r="B49" s="7">
        <f>SUM(B50:B57)</f>
        <v>14</v>
      </c>
      <c r="C49" s="7">
        <f t="shared" ref="C49" si="2">SUM(C50:C57)</f>
        <v>0</v>
      </c>
    </row>
    <row r="50" spans="1:3" ht="15.75" thickBot="1" x14ac:dyDescent="0.3">
      <c r="A50" s="9" t="s">
        <v>59</v>
      </c>
      <c r="B50" s="2">
        <v>2</v>
      </c>
      <c r="C50" s="2"/>
    </row>
    <row r="51" spans="1:3" ht="15.75" thickBot="1" x14ac:dyDescent="0.3">
      <c r="A51" s="9" t="s">
        <v>60</v>
      </c>
      <c r="B51" s="2">
        <v>0</v>
      </c>
      <c r="C51" s="2"/>
    </row>
    <row r="52" spans="1:3" ht="15.75" thickBot="1" x14ac:dyDescent="0.3">
      <c r="A52" s="11" t="s">
        <v>61</v>
      </c>
      <c r="B52" s="2">
        <v>2</v>
      </c>
      <c r="C52" s="2"/>
    </row>
    <row r="53" spans="1:3" ht="15.75" thickBot="1" x14ac:dyDescent="0.3">
      <c r="A53" s="9" t="s">
        <v>62</v>
      </c>
      <c r="B53" s="2">
        <v>6</v>
      </c>
      <c r="C53" s="2"/>
    </row>
    <row r="54" spans="1:3" ht="15.75" thickBot="1" x14ac:dyDescent="0.3">
      <c r="A54" s="9" t="s">
        <v>63</v>
      </c>
      <c r="B54" s="2">
        <v>0</v>
      </c>
      <c r="C54" s="2"/>
    </row>
    <row r="55" spans="1:3" ht="15.75" thickBot="1" x14ac:dyDescent="0.3">
      <c r="A55" s="9" t="s">
        <v>64</v>
      </c>
      <c r="B55" s="2">
        <v>0</v>
      </c>
      <c r="C55" s="2"/>
    </row>
    <row r="56" spans="1:3" ht="15.75" thickBot="1" x14ac:dyDescent="0.3">
      <c r="A56" s="9" t="s">
        <v>65</v>
      </c>
      <c r="B56" s="2">
        <v>4</v>
      </c>
      <c r="C56" s="2"/>
    </row>
    <row r="57" spans="1:3" ht="15.75" thickBot="1" x14ac:dyDescent="0.3">
      <c r="A57" s="11" t="s">
        <v>66</v>
      </c>
      <c r="B57" s="2">
        <v>0</v>
      </c>
      <c r="C57" s="2"/>
    </row>
    <row r="58" spans="1:3" ht="15.75" thickBot="1" x14ac:dyDescent="0.3">
      <c r="A58" s="8" t="s">
        <v>119</v>
      </c>
      <c r="B58" s="7">
        <f>SUM(B59:B65)</f>
        <v>9</v>
      </c>
      <c r="C58" s="7">
        <f t="shared" ref="C58" si="3">SUM(C59:C65)</f>
        <v>0</v>
      </c>
    </row>
    <row r="59" spans="1:3" ht="15.75" thickBot="1" x14ac:dyDescent="0.3">
      <c r="A59" s="11" t="s">
        <v>67</v>
      </c>
      <c r="B59" s="2">
        <v>0</v>
      </c>
      <c r="C59" s="2"/>
    </row>
    <row r="60" spans="1:3" ht="15.75" thickBot="1" x14ac:dyDescent="0.3">
      <c r="A60" s="11" t="s">
        <v>68</v>
      </c>
      <c r="B60" s="2">
        <v>0</v>
      </c>
      <c r="C60" s="2"/>
    </row>
    <row r="61" spans="1:3" ht="26.25" thickBot="1" x14ac:dyDescent="0.3">
      <c r="A61" s="9" t="s">
        <v>69</v>
      </c>
      <c r="B61" s="2">
        <v>1</v>
      </c>
      <c r="C61" s="2"/>
    </row>
    <row r="62" spans="1:3" ht="26.25" thickBot="1" x14ac:dyDescent="0.3">
      <c r="A62" s="9" t="s">
        <v>70</v>
      </c>
      <c r="B62" s="2">
        <v>2</v>
      </c>
      <c r="C62" s="2"/>
    </row>
    <row r="63" spans="1:3" ht="26.25" thickBot="1" x14ac:dyDescent="0.3">
      <c r="A63" s="9" t="s">
        <v>71</v>
      </c>
      <c r="B63" s="2">
        <v>3</v>
      </c>
      <c r="C63" s="2"/>
    </row>
    <row r="64" spans="1:3" ht="15.75" thickBot="1" x14ac:dyDescent="0.3">
      <c r="A64" s="11" t="s">
        <v>72</v>
      </c>
      <c r="B64" s="2">
        <v>0</v>
      </c>
      <c r="C64" s="2"/>
    </row>
    <row r="65" spans="1:3" ht="15.75" thickBot="1" x14ac:dyDescent="0.3">
      <c r="A65" s="11" t="s">
        <v>73</v>
      </c>
      <c r="B65" s="2">
        <v>3</v>
      </c>
      <c r="C65" s="2"/>
    </row>
    <row r="66" spans="1:3" ht="15.75" thickBot="1" x14ac:dyDescent="0.3">
      <c r="A66" s="8" t="s">
        <v>120</v>
      </c>
      <c r="B66" s="7">
        <f>SUM(B67:B77)</f>
        <v>0</v>
      </c>
      <c r="C66" s="7">
        <f t="shared" ref="C66" si="4">SUM(C67:C77)</f>
        <v>0</v>
      </c>
    </row>
    <row r="67" spans="1:3" ht="15.75" thickBot="1" x14ac:dyDescent="0.3">
      <c r="A67" s="11" t="s">
        <v>74</v>
      </c>
      <c r="B67" s="2">
        <v>0</v>
      </c>
      <c r="C67" s="2"/>
    </row>
    <row r="68" spans="1:3" ht="15.75" thickBot="1" x14ac:dyDescent="0.3">
      <c r="A68" s="9" t="s">
        <v>75</v>
      </c>
      <c r="B68" s="2">
        <v>0</v>
      </c>
      <c r="C68" s="2"/>
    </row>
    <row r="69" spans="1:3" ht="15.75" thickBot="1" x14ac:dyDescent="0.3">
      <c r="A69" s="11" t="s">
        <v>76</v>
      </c>
      <c r="B69" s="2">
        <v>0</v>
      </c>
      <c r="C69" s="2"/>
    </row>
    <row r="70" spans="1:3" ht="15.75" thickBot="1" x14ac:dyDescent="0.3">
      <c r="A70" s="11" t="s">
        <v>77</v>
      </c>
      <c r="B70" s="2">
        <v>0</v>
      </c>
      <c r="C70" s="2"/>
    </row>
    <row r="71" spans="1:3" ht="15.75" thickBot="1" x14ac:dyDescent="0.3">
      <c r="A71" s="9" t="s">
        <v>78</v>
      </c>
      <c r="B71" s="2">
        <v>0</v>
      </c>
      <c r="C71" s="2"/>
    </row>
    <row r="72" spans="1:3" ht="15.75" thickBot="1" x14ac:dyDescent="0.3">
      <c r="A72" s="11" t="s">
        <v>79</v>
      </c>
      <c r="B72" s="2">
        <v>0</v>
      </c>
      <c r="C72" s="2"/>
    </row>
    <row r="73" spans="1:3" ht="15.75" thickBot="1" x14ac:dyDescent="0.3">
      <c r="A73" s="11" t="s">
        <v>80</v>
      </c>
      <c r="B73" s="2">
        <v>0</v>
      </c>
      <c r="C73" s="2"/>
    </row>
    <row r="74" spans="1:3" ht="15.75" thickBot="1" x14ac:dyDescent="0.3">
      <c r="A74" s="11" t="s">
        <v>81</v>
      </c>
      <c r="B74" s="2">
        <v>0</v>
      </c>
      <c r="C74" s="2"/>
    </row>
    <row r="75" spans="1:3" ht="15.75" thickBot="1" x14ac:dyDescent="0.3">
      <c r="A75" s="9" t="s">
        <v>82</v>
      </c>
      <c r="B75" s="2">
        <v>0</v>
      </c>
      <c r="C75" s="2"/>
    </row>
    <row r="76" spans="1:3" ht="26.25" thickBot="1" x14ac:dyDescent="0.3">
      <c r="A76" s="9" t="s">
        <v>83</v>
      </c>
      <c r="B76" s="2">
        <v>0</v>
      </c>
      <c r="C76" s="2"/>
    </row>
    <row r="77" spans="1:3" ht="15.75" thickBot="1" x14ac:dyDescent="0.3">
      <c r="A77" s="9" t="s">
        <v>84</v>
      </c>
      <c r="B77" s="2">
        <v>0</v>
      </c>
      <c r="C77" s="2"/>
    </row>
    <row r="78" spans="1:3" ht="15.75" thickBot="1" x14ac:dyDescent="0.3">
      <c r="A78" s="10" t="s">
        <v>121</v>
      </c>
      <c r="B78" s="7">
        <f>SUM(B79:B96)</f>
        <v>21</v>
      </c>
      <c r="C78" s="7">
        <f>SUM(C79:C96)</f>
        <v>0</v>
      </c>
    </row>
    <row r="79" spans="1:3" ht="15.75" thickBot="1" x14ac:dyDescent="0.3">
      <c r="A79" s="9" t="s">
        <v>85</v>
      </c>
      <c r="B79" s="1">
        <v>0</v>
      </c>
      <c r="C79" s="1"/>
    </row>
    <row r="80" spans="1:3" ht="15.75" thickBot="1" x14ac:dyDescent="0.3">
      <c r="A80" s="9" t="s">
        <v>86</v>
      </c>
      <c r="B80" s="2">
        <v>4</v>
      </c>
      <c r="C80" s="1"/>
    </row>
    <row r="81" spans="1:3" ht="15.75" thickBot="1" x14ac:dyDescent="0.3">
      <c r="A81" s="9" t="s">
        <v>87</v>
      </c>
      <c r="B81" s="2">
        <v>0</v>
      </c>
      <c r="C81" s="1"/>
    </row>
    <row r="82" spans="1:3" ht="15.75" thickBot="1" x14ac:dyDescent="0.3">
      <c r="A82" s="9" t="s">
        <v>88</v>
      </c>
      <c r="B82" s="2">
        <v>0</v>
      </c>
      <c r="C82" s="1"/>
    </row>
    <row r="83" spans="1:3" ht="15.75" thickBot="1" x14ac:dyDescent="0.3">
      <c r="A83" s="9" t="s">
        <v>89</v>
      </c>
      <c r="B83" s="2">
        <v>1</v>
      </c>
      <c r="C83" s="1"/>
    </row>
    <row r="84" spans="1:3" ht="15.75" thickBot="1" x14ac:dyDescent="0.3">
      <c r="A84" s="9" t="s">
        <v>90</v>
      </c>
      <c r="B84" s="2">
        <v>1</v>
      </c>
      <c r="C84" s="1"/>
    </row>
    <row r="85" spans="1:3" ht="15.75" thickBot="1" x14ac:dyDescent="0.3">
      <c r="A85" s="9" t="s">
        <v>91</v>
      </c>
      <c r="B85" s="2">
        <v>9</v>
      </c>
      <c r="C85" s="1"/>
    </row>
    <row r="86" spans="1:3" ht="15.75" thickBot="1" x14ac:dyDescent="0.3">
      <c r="A86" s="11" t="s">
        <v>92</v>
      </c>
      <c r="B86" s="2">
        <v>3</v>
      </c>
      <c r="C86" s="1"/>
    </row>
    <row r="87" spans="1:3" ht="15.75" thickBot="1" x14ac:dyDescent="0.3">
      <c r="A87" s="9" t="s">
        <v>93</v>
      </c>
      <c r="B87" s="2">
        <v>1</v>
      </c>
      <c r="C87" s="1"/>
    </row>
    <row r="88" spans="1:3" ht="15.75" thickBot="1" x14ac:dyDescent="0.3">
      <c r="A88" s="9" t="s">
        <v>94</v>
      </c>
      <c r="B88" s="2">
        <v>0</v>
      </c>
      <c r="C88" s="1"/>
    </row>
    <row r="89" spans="1:3" ht="15.75" thickBot="1" x14ac:dyDescent="0.3">
      <c r="A89" s="9" t="s">
        <v>95</v>
      </c>
      <c r="B89" s="2">
        <v>0</v>
      </c>
      <c r="C89" s="1"/>
    </row>
    <row r="90" spans="1:3" ht="15.75" thickBot="1" x14ac:dyDescent="0.3">
      <c r="A90" s="9" t="s">
        <v>96</v>
      </c>
      <c r="B90" s="2">
        <v>1</v>
      </c>
      <c r="C90" s="1"/>
    </row>
    <row r="91" spans="1:3" ht="15.75" thickBot="1" x14ac:dyDescent="0.3">
      <c r="A91" s="9" t="s">
        <v>97</v>
      </c>
      <c r="B91" s="2">
        <v>0</v>
      </c>
      <c r="C91" s="1"/>
    </row>
    <row r="92" spans="1:3" ht="15.75" thickBot="1" x14ac:dyDescent="0.3">
      <c r="A92" s="9" t="s">
        <v>98</v>
      </c>
      <c r="B92" s="2">
        <v>0</v>
      </c>
      <c r="C92" s="1"/>
    </row>
    <row r="93" spans="1:3" ht="15.75" thickBot="1" x14ac:dyDescent="0.3">
      <c r="A93" s="9" t="s">
        <v>99</v>
      </c>
      <c r="B93" s="2">
        <v>0</v>
      </c>
      <c r="C93" s="1"/>
    </row>
    <row r="94" spans="1:3" ht="15.75" thickBot="1" x14ac:dyDescent="0.3">
      <c r="A94" s="9" t="s">
        <v>100</v>
      </c>
      <c r="B94" s="2">
        <v>1</v>
      </c>
      <c r="C94" s="1"/>
    </row>
    <row r="95" spans="1:3" ht="15.75" thickBot="1" x14ac:dyDescent="0.3">
      <c r="A95" s="9" t="s">
        <v>101</v>
      </c>
      <c r="B95" s="2">
        <v>0</v>
      </c>
      <c r="C95" s="1"/>
    </row>
    <row r="96" spans="1:3" ht="15.75" thickBot="1" x14ac:dyDescent="0.3">
      <c r="A96" s="11" t="s">
        <v>102</v>
      </c>
      <c r="B96" s="2">
        <v>0</v>
      </c>
      <c r="C96" s="1"/>
    </row>
    <row r="97" spans="1:3" ht="15.75" thickBot="1" x14ac:dyDescent="0.3">
      <c r="A97" s="10"/>
      <c r="B97" s="7">
        <v>0</v>
      </c>
      <c r="C97" s="7">
        <f>SUM(C98:C115)</f>
        <v>0</v>
      </c>
    </row>
    <row r="98" spans="1:3" ht="15.75" thickBot="1" x14ac:dyDescent="0.3">
      <c r="A98" s="64" t="s">
        <v>608</v>
      </c>
      <c r="B98" s="2"/>
      <c r="C98" s="1"/>
    </row>
    <row r="99" spans="1:3" ht="15.75" thickBot="1" x14ac:dyDescent="0.3">
      <c r="A99" s="64" t="s">
        <v>609</v>
      </c>
      <c r="B99" s="2"/>
      <c r="C99" s="1"/>
    </row>
    <row r="100" spans="1:3" ht="15.75" thickBot="1" x14ac:dyDescent="0.3">
      <c r="A100" s="64" t="s">
        <v>610</v>
      </c>
      <c r="B100" s="2"/>
      <c r="C100" s="1"/>
    </row>
    <row r="101" spans="1:3" ht="15.75" thickBot="1" x14ac:dyDescent="0.3">
      <c r="A101" s="64" t="s">
        <v>611</v>
      </c>
      <c r="B101" s="2"/>
      <c r="C101" s="1"/>
    </row>
    <row r="102" spans="1:3" ht="26.25" thickBot="1" x14ac:dyDescent="0.3">
      <c r="A102" s="191" t="s">
        <v>247</v>
      </c>
      <c r="B102" s="6">
        <f t="shared" ref="B102:C102" si="5">B4+B16+B27+B34+B49+B58+B66+B78</f>
        <v>81</v>
      </c>
      <c r="C102" s="6">
        <f t="shared" si="5"/>
        <v>0</v>
      </c>
    </row>
  </sheetData>
  <mergeCells count="2">
    <mergeCell ref="A1:A3"/>
    <mergeCell ref="B1:C2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8"/>
  <sheetViews>
    <sheetView topLeftCell="B1" workbookViewId="0">
      <selection activeCell="G23" sqref="G23"/>
    </sheetView>
  </sheetViews>
  <sheetFormatPr defaultRowHeight="15" x14ac:dyDescent="0.25"/>
  <cols>
    <col min="1" max="1" width="37.140625" customWidth="1"/>
  </cols>
  <sheetData>
    <row r="1" spans="1:15" ht="15.75" thickBot="1" x14ac:dyDescent="0.3">
      <c r="A1" s="199" t="s">
        <v>14</v>
      </c>
      <c r="B1" s="196" t="s">
        <v>0</v>
      </c>
      <c r="C1" s="197"/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8"/>
    </row>
    <row r="2" spans="1:15" ht="39" customHeight="1" thickBot="1" x14ac:dyDescent="0.3">
      <c r="A2" s="200"/>
      <c r="B2" s="196" t="s">
        <v>2</v>
      </c>
      <c r="C2" s="198"/>
      <c r="D2" s="196" t="s">
        <v>123</v>
      </c>
      <c r="E2" s="198"/>
      <c r="F2" s="196" t="s">
        <v>3</v>
      </c>
      <c r="G2" s="198"/>
      <c r="H2" s="196" t="s">
        <v>4</v>
      </c>
      <c r="I2" s="198"/>
      <c r="J2" s="196" t="s">
        <v>5</v>
      </c>
      <c r="K2" s="198"/>
      <c r="L2" s="196" t="s">
        <v>6</v>
      </c>
      <c r="M2" s="198"/>
      <c r="N2" s="196" t="s">
        <v>7</v>
      </c>
      <c r="O2" s="198"/>
    </row>
    <row r="3" spans="1:15" ht="15.75" thickBot="1" x14ac:dyDescent="0.3">
      <c r="A3" s="201"/>
      <c r="B3" s="37" t="s">
        <v>122</v>
      </c>
      <c r="C3" s="37" t="s">
        <v>223</v>
      </c>
      <c r="D3" s="37" t="s">
        <v>122</v>
      </c>
      <c r="E3" s="37" t="s">
        <v>223</v>
      </c>
      <c r="F3" s="37" t="s">
        <v>122</v>
      </c>
      <c r="G3" s="37" t="s">
        <v>223</v>
      </c>
      <c r="H3" s="37" t="s">
        <v>122</v>
      </c>
      <c r="I3" s="37" t="s">
        <v>223</v>
      </c>
      <c r="J3" s="37" t="s">
        <v>122</v>
      </c>
      <c r="K3" s="37" t="s">
        <v>223</v>
      </c>
      <c r="L3" s="37" t="s">
        <v>122</v>
      </c>
      <c r="M3" s="37" t="s">
        <v>223</v>
      </c>
      <c r="N3" s="37" t="s">
        <v>122</v>
      </c>
      <c r="O3" s="37" t="s">
        <v>223</v>
      </c>
    </row>
    <row r="4" spans="1:15" ht="15.75" thickBot="1" x14ac:dyDescent="0.3">
      <c r="A4" s="203" t="s">
        <v>212</v>
      </c>
      <c r="B4" s="202"/>
      <c r="C4" s="202"/>
      <c r="D4" s="202"/>
      <c r="E4" s="202"/>
      <c r="F4" s="202"/>
      <c r="G4" s="202"/>
      <c r="H4" s="202"/>
      <c r="I4" s="202"/>
      <c r="J4" s="202"/>
      <c r="K4" s="202"/>
      <c r="L4" s="202"/>
      <c r="M4" s="202"/>
      <c r="N4" s="202"/>
      <c r="O4" s="204"/>
    </row>
    <row r="5" spans="1:15" ht="15.75" thickBot="1" x14ac:dyDescent="0.3">
      <c r="A5" s="13" t="s">
        <v>211</v>
      </c>
      <c r="B5" s="19">
        <f>SUM(D5,F5,H5,J5,L5,N5)</f>
        <v>1</v>
      </c>
      <c r="C5" s="19">
        <f t="shared" ref="C5:C7" si="0">SUM(E5,G5,I5,K5,M5,O5)</f>
        <v>0</v>
      </c>
      <c r="D5" s="38">
        <v>0</v>
      </c>
      <c r="E5" s="38">
        <v>0</v>
      </c>
      <c r="F5" s="38">
        <v>1</v>
      </c>
      <c r="G5" s="38">
        <v>0</v>
      </c>
      <c r="H5" s="38">
        <v>0</v>
      </c>
      <c r="I5" s="38">
        <v>0</v>
      </c>
      <c r="J5" s="38">
        <v>0</v>
      </c>
      <c r="K5" s="38">
        <v>0</v>
      </c>
      <c r="L5" s="38">
        <v>0</v>
      </c>
      <c r="M5" s="38">
        <v>0</v>
      </c>
      <c r="N5" s="38">
        <v>0</v>
      </c>
      <c r="O5" s="38">
        <v>0</v>
      </c>
    </row>
    <row r="6" spans="1:15" ht="15.75" thickBot="1" x14ac:dyDescent="0.3">
      <c r="A6" s="13" t="s">
        <v>209</v>
      </c>
      <c r="B6" s="19">
        <f t="shared" ref="B6:B7" si="1">SUM(D6,F6,H6,J6,L6,N6)</f>
        <v>20</v>
      </c>
      <c r="C6" s="19">
        <f t="shared" si="0"/>
        <v>0</v>
      </c>
      <c r="D6" s="38">
        <v>0</v>
      </c>
      <c r="E6" s="38">
        <v>0</v>
      </c>
      <c r="F6" s="38">
        <v>18</v>
      </c>
      <c r="G6" s="38">
        <v>0</v>
      </c>
      <c r="H6" s="38">
        <v>2</v>
      </c>
      <c r="I6" s="38">
        <v>0</v>
      </c>
      <c r="J6" s="38">
        <v>0</v>
      </c>
      <c r="K6" s="38">
        <v>0</v>
      </c>
      <c r="L6" s="38">
        <v>0</v>
      </c>
      <c r="M6" s="38">
        <v>0</v>
      </c>
      <c r="N6" s="38">
        <v>0</v>
      </c>
      <c r="O6" s="38">
        <v>0</v>
      </c>
    </row>
    <row r="7" spans="1:15" ht="15.75" thickBot="1" x14ac:dyDescent="0.3">
      <c r="A7" s="13" t="s">
        <v>210</v>
      </c>
      <c r="B7" s="19">
        <f t="shared" si="1"/>
        <v>0</v>
      </c>
      <c r="C7" s="19">
        <f t="shared" si="0"/>
        <v>0</v>
      </c>
      <c r="D7" s="38">
        <v>0</v>
      </c>
      <c r="E7" s="38">
        <v>0</v>
      </c>
      <c r="F7" s="38">
        <v>0</v>
      </c>
      <c r="G7" s="38">
        <v>0</v>
      </c>
      <c r="H7" s="38">
        <v>0</v>
      </c>
      <c r="I7" s="38">
        <v>0</v>
      </c>
      <c r="J7" s="38">
        <v>0</v>
      </c>
      <c r="K7" s="38">
        <v>0</v>
      </c>
      <c r="L7" s="38">
        <v>0</v>
      </c>
      <c r="M7" s="38">
        <v>0</v>
      </c>
      <c r="N7" s="38">
        <v>0</v>
      </c>
      <c r="O7" s="38">
        <v>0</v>
      </c>
    </row>
    <row r="8" spans="1:15" ht="15.75" thickBot="1" x14ac:dyDescent="0.3">
      <c r="A8" s="33" t="s">
        <v>13</v>
      </c>
      <c r="B8" s="33">
        <f>SUM(B2,B5:B7)</f>
        <v>21</v>
      </c>
      <c r="C8" s="33">
        <f t="shared" ref="C8:O8" si="2">SUM(C2,C5:C7)</f>
        <v>0</v>
      </c>
      <c r="D8" s="33">
        <f t="shared" si="2"/>
        <v>0</v>
      </c>
      <c r="E8" s="33">
        <f t="shared" si="2"/>
        <v>0</v>
      </c>
      <c r="F8" s="33">
        <f t="shared" si="2"/>
        <v>19</v>
      </c>
      <c r="G8" s="33">
        <f t="shared" si="2"/>
        <v>0</v>
      </c>
      <c r="H8" s="33">
        <f t="shared" si="2"/>
        <v>2</v>
      </c>
      <c r="I8" s="33">
        <f t="shared" si="2"/>
        <v>0</v>
      </c>
      <c r="J8" s="33">
        <f t="shared" si="2"/>
        <v>0</v>
      </c>
      <c r="K8" s="33">
        <f t="shared" si="2"/>
        <v>0</v>
      </c>
      <c r="L8" s="33">
        <f t="shared" si="2"/>
        <v>0</v>
      </c>
      <c r="M8" s="33">
        <f t="shared" si="2"/>
        <v>0</v>
      </c>
      <c r="N8" s="33">
        <f t="shared" si="2"/>
        <v>0</v>
      </c>
      <c r="O8" s="33">
        <f t="shared" si="2"/>
        <v>0</v>
      </c>
    </row>
  </sheetData>
  <mergeCells count="10">
    <mergeCell ref="A1:A3"/>
    <mergeCell ref="B1:O1"/>
    <mergeCell ref="B2:C2"/>
    <mergeCell ref="A4:O4"/>
    <mergeCell ref="D2:E2"/>
    <mergeCell ref="F2:G2"/>
    <mergeCell ref="H2:I2"/>
    <mergeCell ref="J2:K2"/>
    <mergeCell ref="L2:M2"/>
    <mergeCell ref="N2:O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44"/>
  <sheetViews>
    <sheetView workbookViewId="0">
      <selection activeCell="A36" sqref="A36:A39"/>
    </sheetView>
  </sheetViews>
  <sheetFormatPr defaultRowHeight="15" x14ac:dyDescent="0.25"/>
  <cols>
    <col min="1" max="1" width="25.5703125" customWidth="1"/>
    <col min="2" max="2" width="28.140625" customWidth="1"/>
    <col min="3" max="10" width="13.28515625" customWidth="1"/>
  </cols>
  <sheetData>
    <row r="1" spans="1:10" ht="27.6" customHeight="1" x14ac:dyDescent="0.25">
      <c r="A1" s="233" t="s">
        <v>103</v>
      </c>
      <c r="B1" s="233" t="s">
        <v>236</v>
      </c>
      <c r="C1" s="233" t="s">
        <v>237</v>
      </c>
      <c r="D1" s="233"/>
      <c r="E1" s="233" t="s">
        <v>238</v>
      </c>
      <c r="F1" s="233"/>
      <c r="G1" s="233" t="s">
        <v>239</v>
      </c>
      <c r="H1" s="233"/>
      <c r="I1" s="233"/>
      <c r="J1" s="233"/>
    </row>
    <row r="2" spans="1:10" ht="27.6" customHeight="1" x14ac:dyDescent="0.25">
      <c r="A2" s="233"/>
      <c r="B2" s="233"/>
      <c r="C2" s="233"/>
      <c r="D2" s="233"/>
      <c r="E2" s="233"/>
      <c r="F2" s="233"/>
      <c r="G2" s="234" t="s">
        <v>240</v>
      </c>
      <c r="H2" s="234"/>
      <c r="I2" s="234" t="s">
        <v>241</v>
      </c>
      <c r="J2" s="234"/>
    </row>
    <row r="3" spans="1:10" x14ac:dyDescent="0.25">
      <c r="A3" s="233"/>
      <c r="B3" s="233"/>
      <c r="C3" s="81" t="s">
        <v>124</v>
      </c>
      <c r="D3" s="81" t="s">
        <v>228</v>
      </c>
      <c r="E3" s="81" t="s">
        <v>124</v>
      </c>
      <c r="F3" s="81" t="s">
        <v>228</v>
      </c>
      <c r="G3" s="81" t="s">
        <v>124</v>
      </c>
      <c r="H3" s="81" t="s">
        <v>228</v>
      </c>
      <c r="I3" s="81" t="s">
        <v>124</v>
      </c>
      <c r="J3" s="81" t="s">
        <v>228</v>
      </c>
    </row>
    <row r="4" spans="1:10" x14ac:dyDescent="0.25">
      <c r="A4" s="229" t="s">
        <v>113</v>
      </c>
      <c r="B4" s="76" t="s">
        <v>242</v>
      </c>
      <c r="C4" s="77">
        <v>4</v>
      </c>
      <c r="D4" s="77"/>
      <c r="E4" s="77">
        <v>5</v>
      </c>
      <c r="F4" s="77"/>
      <c r="G4" s="77">
        <v>61</v>
      </c>
      <c r="H4" s="77"/>
      <c r="I4" s="77">
        <v>2</v>
      </c>
      <c r="J4" s="77"/>
    </row>
    <row r="5" spans="1:10" x14ac:dyDescent="0.25">
      <c r="A5" s="229"/>
      <c r="B5" s="76" t="s">
        <v>243</v>
      </c>
      <c r="C5" s="77">
        <v>0</v>
      </c>
      <c r="D5" s="77"/>
      <c r="E5" s="77">
        <v>0</v>
      </c>
      <c r="F5" s="77"/>
      <c r="G5" s="77">
        <v>0</v>
      </c>
      <c r="H5" s="77"/>
      <c r="I5" s="77">
        <v>0</v>
      </c>
      <c r="J5" s="77"/>
    </row>
    <row r="6" spans="1:10" x14ac:dyDescent="0.25">
      <c r="A6" s="229"/>
      <c r="B6" s="76" t="s">
        <v>244</v>
      </c>
      <c r="C6" s="77">
        <v>0</v>
      </c>
      <c r="D6" s="77"/>
      <c r="E6" s="77">
        <v>0</v>
      </c>
      <c r="F6" s="77"/>
      <c r="G6" s="77">
        <v>0</v>
      </c>
      <c r="H6" s="77"/>
      <c r="I6" s="77">
        <v>0</v>
      </c>
      <c r="J6" s="77"/>
    </row>
    <row r="7" spans="1:10" x14ac:dyDescent="0.25">
      <c r="A7" s="229"/>
      <c r="B7" s="76" t="s">
        <v>245</v>
      </c>
      <c r="C7" s="77">
        <v>0</v>
      </c>
      <c r="D7" s="77"/>
      <c r="E7" s="77">
        <v>0</v>
      </c>
      <c r="F7" s="77"/>
      <c r="G7" s="77">
        <v>0</v>
      </c>
      <c r="H7" s="77"/>
      <c r="I7" s="77">
        <v>0</v>
      </c>
      <c r="J7" s="77"/>
    </row>
    <row r="8" spans="1:10" x14ac:dyDescent="0.25">
      <c r="A8" s="229" t="s">
        <v>115</v>
      </c>
      <c r="B8" s="76" t="s">
        <v>242</v>
      </c>
      <c r="C8" s="77">
        <v>3</v>
      </c>
      <c r="D8" s="77"/>
      <c r="E8" s="77">
        <v>7</v>
      </c>
      <c r="F8" s="77"/>
      <c r="G8" s="77">
        <v>26</v>
      </c>
      <c r="H8" s="77"/>
      <c r="I8" s="77">
        <v>0</v>
      </c>
      <c r="J8" s="77"/>
    </row>
    <row r="9" spans="1:10" x14ac:dyDescent="0.25">
      <c r="A9" s="229"/>
      <c r="B9" s="76" t="s">
        <v>243</v>
      </c>
      <c r="C9" s="77">
        <v>0</v>
      </c>
      <c r="D9" s="77"/>
      <c r="E9" s="77">
        <v>0</v>
      </c>
      <c r="F9" s="77"/>
      <c r="G9" s="77">
        <v>0</v>
      </c>
      <c r="H9" s="77"/>
      <c r="I9" s="77">
        <v>0</v>
      </c>
      <c r="J9" s="77"/>
    </row>
    <row r="10" spans="1:10" x14ac:dyDescent="0.25">
      <c r="A10" s="229"/>
      <c r="B10" s="76" t="s">
        <v>244</v>
      </c>
      <c r="C10" s="77">
        <v>0</v>
      </c>
      <c r="D10" s="77"/>
      <c r="E10" s="77">
        <v>0</v>
      </c>
      <c r="F10" s="77"/>
      <c r="G10" s="77">
        <v>0</v>
      </c>
      <c r="H10" s="77"/>
      <c r="I10" s="77">
        <v>0</v>
      </c>
      <c r="J10" s="77"/>
    </row>
    <row r="11" spans="1:10" x14ac:dyDescent="0.25">
      <c r="A11" s="229"/>
      <c r="B11" s="76" t="s">
        <v>245</v>
      </c>
      <c r="C11" s="77">
        <v>0</v>
      </c>
      <c r="D11" s="77"/>
      <c r="E11" s="77">
        <v>0</v>
      </c>
      <c r="F11" s="77"/>
      <c r="G11" s="77">
        <v>0</v>
      </c>
      <c r="H11" s="77"/>
      <c r="I11" s="77">
        <v>0</v>
      </c>
      <c r="J11" s="77"/>
    </row>
    <row r="12" spans="1:10" x14ac:dyDescent="0.25">
      <c r="A12" s="229" t="s">
        <v>116</v>
      </c>
      <c r="B12" s="76" t="s">
        <v>242</v>
      </c>
      <c r="C12" s="77">
        <v>7</v>
      </c>
      <c r="D12" s="77"/>
      <c r="E12" s="77">
        <v>8</v>
      </c>
      <c r="F12" s="77"/>
      <c r="G12" s="77">
        <v>135</v>
      </c>
      <c r="H12" s="77"/>
      <c r="I12" s="77">
        <v>0</v>
      </c>
      <c r="J12" s="77"/>
    </row>
    <row r="13" spans="1:10" x14ac:dyDescent="0.25">
      <c r="A13" s="229"/>
      <c r="B13" s="76" t="s">
        <v>243</v>
      </c>
      <c r="C13" s="77">
        <v>0</v>
      </c>
      <c r="D13" s="77"/>
      <c r="E13" s="77">
        <v>0</v>
      </c>
      <c r="F13" s="77"/>
      <c r="G13" s="77">
        <v>0</v>
      </c>
      <c r="H13" s="77"/>
      <c r="I13" s="77">
        <v>0</v>
      </c>
      <c r="J13" s="77"/>
    </row>
    <row r="14" spans="1:10" x14ac:dyDescent="0.25">
      <c r="A14" s="229"/>
      <c r="B14" s="76" t="s">
        <v>244</v>
      </c>
      <c r="C14" s="77">
        <v>0</v>
      </c>
      <c r="D14" s="77"/>
      <c r="E14" s="77">
        <v>0</v>
      </c>
      <c r="F14" s="77"/>
      <c r="G14" s="77">
        <v>0</v>
      </c>
      <c r="H14" s="77"/>
      <c r="I14" s="77">
        <v>0</v>
      </c>
      <c r="J14" s="77"/>
    </row>
    <row r="15" spans="1:10" x14ac:dyDescent="0.25">
      <c r="A15" s="229"/>
      <c r="B15" s="76" t="s">
        <v>245</v>
      </c>
      <c r="C15" s="77">
        <v>0</v>
      </c>
      <c r="D15" s="77"/>
      <c r="E15" s="77">
        <v>0</v>
      </c>
      <c r="F15" s="77"/>
      <c r="G15" s="77">
        <v>0</v>
      </c>
      <c r="H15" s="77"/>
      <c r="I15" s="77">
        <v>0</v>
      </c>
      <c r="J15" s="77"/>
    </row>
    <row r="16" spans="1:10" x14ac:dyDescent="0.25">
      <c r="A16" s="229" t="s">
        <v>117</v>
      </c>
      <c r="B16" s="76" t="s">
        <v>242</v>
      </c>
      <c r="C16" s="77">
        <v>20</v>
      </c>
      <c r="D16" s="77"/>
      <c r="E16" s="77">
        <v>25</v>
      </c>
      <c r="F16" s="77"/>
      <c r="G16" s="77">
        <v>6241</v>
      </c>
      <c r="H16" s="77"/>
      <c r="I16" s="77">
        <v>14</v>
      </c>
      <c r="J16" s="77"/>
    </row>
    <row r="17" spans="1:10" x14ac:dyDescent="0.25">
      <c r="A17" s="229"/>
      <c r="B17" s="76" t="s">
        <v>243</v>
      </c>
      <c r="C17" s="77">
        <v>0</v>
      </c>
      <c r="D17" s="77"/>
      <c r="E17" s="77">
        <v>0</v>
      </c>
      <c r="F17" s="77"/>
      <c r="G17" s="77">
        <v>0</v>
      </c>
      <c r="H17" s="77"/>
      <c r="I17" s="77">
        <v>0</v>
      </c>
      <c r="J17" s="77"/>
    </row>
    <row r="18" spans="1:10" x14ac:dyDescent="0.25">
      <c r="A18" s="229"/>
      <c r="B18" s="76" t="s">
        <v>244</v>
      </c>
      <c r="C18" s="77">
        <v>0</v>
      </c>
      <c r="D18" s="77"/>
      <c r="E18" s="77">
        <v>0</v>
      </c>
      <c r="F18" s="77"/>
      <c r="G18" s="77">
        <v>0</v>
      </c>
      <c r="H18" s="77"/>
      <c r="I18" s="77">
        <v>0</v>
      </c>
      <c r="J18" s="77"/>
    </row>
    <row r="19" spans="1:10" x14ac:dyDescent="0.25">
      <c r="A19" s="229"/>
      <c r="B19" s="76" t="s">
        <v>245</v>
      </c>
      <c r="C19" s="77">
        <v>0</v>
      </c>
      <c r="D19" s="77"/>
      <c r="E19" s="77">
        <v>0</v>
      </c>
      <c r="F19" s="77"/>
      <c r="G19" s="77">
        <v>0</v>
      </c>
      <c r="H19" s="77"/>
      <c r="I19" s="77">
        <v>0</v>
      </c>
      <c r="J19" s="77"/>
    </row>
    <row r="20" spans="1:10" x14ac:dyDescent="0.25">
      <c r="A20" s="229" t="s">
        <v>118</v>
      </c>
      <c r="B20" s="76" t="s">
        <v>242</v>
      </c>
      <c r="C20" s="77">
        <v>17</v>
      </c>
      <c r="D20" s="77"/>
      <c r="E20" s="77">
        <v>21</v>
      </c>
      <c r="F20" s="77"/>
      <c r="G20" s="77">
        <v>197</v>
      </c>
      <c r="H20" s="77"/>
      <c r="I20" s="77">
        <v>3</v>
      </c>
      <c r="J20" s="77"/>
    </row>
    <row r="21" spans="1:10" x14ac:dyDescent="0.25">
      <c r="A21" s="229"/>
      <c r="B21" s="76" t="s">
        <v>243</v>
      </c>
      <c r="C21" s="77">
        <v>0</v>
      </c>
      <c r="D21" s="77"/>
      <c r="E21" s="77">
        <v>0</v>
      </c>
      <c r="F21" s="77"/>
      <c r="G21" s="77">
        <v>0</v>
      </c>
      <c r="H21" s="77"/>
      <c r="I21" s="77">
        <v>0</v>
      </c>
      <c r="J21" s="77"/>
    </row>
    <row r="22" spans="1:10" x14ac:dyDescent="0.25">
      <c r="A22" s="229"/>
      <c r="B22" s="76" t="s">
        <v>244</v>
      </c>
      <c r="C22" s="77">
        <v>0</v>
      </c>
      <c r="D22" s="77"/>
      <c r="E22" s="77">
        <v>0</v>
      </c>
      <c r="F22" s="77"/>
      <c r="G22" s="77">
        <v>0</v>
      </c>
      <c r="H22" s="77"/>
      <c r="I22" s="77">
        <v>0</v>
      </c>
      <c r="J22" s="77"/>
    </row>
    <row r="23" spans="1:10" x14ac:dyDescent="0.25">
      <c r="A23" s="229"/>
      <c r="B23" s="76" t="s">
        <v>245</v>
      </c>
      <c r="C23" s="77">
        <v>0</v>
      </c>
      <c r="D23" s="77"/>
      <c r="E23" s="77">
        <v>0</v>
      </c>
      <c r="F23" s="77"/>
      <c r="G23" s="77">
        <v>0</v>
      </c>
      <c r="H23" s="77"/>
      <c r="I23" s="77">
        <v>0</v>
      </c>
      <c r="J23" s="77"/>
    </row>
    <row r="24" spans="1:10" x14ac:dyDescent="0.25">
      <c r="A24" s="229" t="s">
        <v>119</v>
      </c>
      <c r="B24" s="76" t="s">
        <v>242</v>
      </c>
      <c r="C24" s="77">
        <v>9</v>
      </c>
      <c r="D24" s="77"/>
      <c r="E24" s="77">
        <v>11</v>
      </c>
      <c r="F24" s="77"/>
      <c r="G24" s="77">
        <v>490</v>
      </c>
      <c r="H24" s="77"/>
      <c r="I24" s="77">
        <v>2</v>
      </c>
      <c r="J24" s="77"/>
    </row>
    <row r="25" spans="1:10" x14ac:dyDescent="0.25">
      <c r="A25" s="229"/>
      <c r="B25" s="76" t="s">
        <v>243</v>
      </c>
      <c r="C25" s="77">
        <v>0</v>
      </c>
      <c r="D25" s="77"/>
      <c r="E25" s="77">
        <v>0</v>
      </c>
      <c r="F25" s="77"/>
      <c r="G25" s="77">
        <v>0</v>
      </c>
      <c r="H25" s="77"/>
      <c r="I25" s="77">
        <v>0</v>
      </c>
      <c r="J25" s="77"/>
    </row>
    <row r="26" spans="1:10" x14ac:dyDescent="0.25">
      <c r="A26" s="229"/>
      <c r="B26" s="76" t="s">
        <v>244</v>
      </c>
      <c r="C26" s="77">
        <v>0</v>
      </c>
      <c r="D26" s="77"/>
      <c r="E26" s="77">
        <v>0</v>
      </c>
      <c r="F26" s="77"/>
      <c r="G26" s="77">
        <v>0</v>
      </c>
      <c r="H26" s="77"/>
      <c r="I26" s="77">
        <v>0</v>
      </c>
      <c r="J26" s="77"/>
    </row>
    <row r="27" spans="1:10" x14ac:dyDescent="0.25">
      <c r="A27" s="229"/>
      <c r="B27" s="76" t="s">
        <v>245</v>
      </c>
      <c r="C27" s="77">
        <v>0</v>
      </c>
      <c r="D27" s="77"/>
      <c r="E27" s="77">
        <v>0</v>
      </c>
      <c r="F27" s="77"/>
      <c r="G27" s="77">
        <v>0</v>
      </c>
      <c r="H27" s="77"/>
      <c r="I27" s="77">
        <v>0</v>
      </c>
      <c r="J27" s="77"/>
    </row>
    <row r="28" spans="1:10" x14ac:dyDescent="0.25">
      <c r="A28" s="229" t="s">
        <v>120</v>
      </c>
      <c r="B28" s="76" t="s">
        <v>242</v>
      </c>
      <c r="C28" s="77">
        <v>10</v>
      </c>
      <c r="D28" s="77"/>
      <c r="E28" s="77">
        <v>18</v>
      </c>
      <c r="F28" s="77"/>
      <c r="G28" s="77">
        <v>146</v>
      </c>
      <c r="H28" s="77"/>
      <c r="I28" s="77">
        <v>1</v>
      </c>
      <c r="J28" s="77"/>
    </row>
    <row r="29" spans="1:10" x14ac:dyDescent="0.25">
      <c r="A29" s="229"/>
      <c r="B29" s="76" t="s">
        <v>243</v>
      </c>
      <c r="C29" s="77">
        <v>0</v>
      </c>
      <c r="D29" s="77"/>
      <c r="E29" s="77">
        <v>0</v>
      </c>
      <c r="F29" s="77"/>
      <c r="G29" s="77">
        <v>0</v>
      </c>
      <c r="H29" s="77"/>
      <c r="I29" s="77">
        <v>0</v>
      </c>
      <c r="J29" s="77"/>
    </row>
    <row r="30" spans="1:10" x14ac:dyDescent="0.25">
      <c r="A30" s="229"/>
      <c r="B30" s="76" t="s">
        <v>244</v>
      </c>
      <c r="C30" s="77">
        <v>0</v>
      </c>
      <c r="D30" s="77"/>
      <c r="E30" s="77">
        <v>0</v>
      </c>
      <c r="F30" s="77"/>
      <c r="G30" s="77">
        <v>0</v>
      </c>
      <c r="H30" s="77"/>
      <c r="I30" s="77">
        <v>0</v>
      </c>
      <c r="J30" s="77"/>
    </row>
    <row r="31" spans="1:10" x14ac:dyDescent="0.25">
      <c r="A31" s="229"/>
      <c r="B31" s="76" t="s">
        <v>245</v>
      </c>
      <c r="C31" s="77">
        <v>0</v>
      </c>
      <c r="D31" s="77"/>
      <c r="E31" s="77">
        <v>0</v>
      </c>
      <c r="F31" s="77"/>
      <c r="G31" s="77">
        <v>0</v>
      </c>
      <c r="H31" s="77"/>
      <c r="I31" s="77">
        <v>0</v>
      </c>
      <c r="J31" s="77"/>
    </row>
    <row r="32" spans="1:10" x14ac:dyDescent="0.25">
      <c r="A32" s="229" t="s">
        <v>121</v>
      </c>
      <c r="B32" s="76" t="s">
        <v>242</v>
      </c>
      <c r="C32" s="77">
        <v>26</v>
      </c>
      <c r="D32" s="77"/>
      <c r="E32" s="77">
        <v>31</v>
      </c>
      <c r="F32" s="77"/>
      <c r="G32" s="77">
        <v>459</v>
      </c>
      <c r="H32" s="77"/>
      <c r="I32" s="77">
        <v>7</v>
      </c>
      <c r="J32" s="77"/>
    </row>
    <row r="33" spans="1:10" x14ac:dyDescent="0.25">
      <c r="A33" s="229"/>
      <c r="B33" s="76" t="s">
        <v>243</v>
      </c>
      <c r="C33" s="77">
        <v>0</v>
      </c>
      <c r="D33" s="77"/>
      <c r="E33" s="77">
        <v>0</v>
      </c>
      <c r="F33" s="77"/>
      <c r="G33" s="77">
        <v>0</v>
      </c>
      <c r="H33" s="77"/>
      <c r="I33" s="77">
        <v>0</v>
      </c>
      <c r="J33" s="77"/>
    </row>
    <row r="34" spans="1:10" x14ac:dyDescent="0.25">
      <c r="A34" s="229"/>
      <c r="B34" s="76" t="s">
        <v>244</v>
      </c>
      <c r="C34" s="77">
        <v>0</v>
      </c>
      <c r="D34" s="77"/>
      <c r="E34" s="77">
        <v>0</v>
      </c>
      <c r="F34" s="77"/>
      <c r="G34" s="77">
        <v>0</v>
      </c>
      <c r="H34" s="77"/>
      <c r="I34" s="77">
        <v>0</v>
      </c>
      <c r="J34" s="77"/>
    </row>
    <row r="35" spans="1:10" x14ac:dyDescent="0.25">
      <c r="A35" s="229"/>
      <c r="B35" s="76" t="s">
        <v>245</v>
      </c>
      <c r="C35" s="77">
        <v>0</v>
      </c>
      <c r="D35" s="77"/>
      <c r="E35" s="77">
        <v>0</v>
      </c>
      <c r="F35" s="77"/>
      <c r="G35" s="77">
        <v>0</v>
      </c>
      <c r="H35" s="77"/>
      <c r="I35" s="77">
        <v>0</v>
      </c>
      <c r="J35" s="77"/>
    </row>
    <row r="36" spans="1:10" x14ac:dyDescent="0.25">
      <c r="A36" s="232" t="s">
        <v>612</v>
      </c>
      <c r="B36" s="76" t="s">
        <v>242</v>
      </c>
      <c r="C36" s="77">
        <v>0</v>
      </c>
      <c r="D36" s="77"/>
      <c r="E36" s="77">
        <v>0</v>
      </c>
      <c r="F36" s="77"/>
      <c r="G36" s="77">
        <v>0</v>
      </c>
      <c r="H36" s="77"/>
      <c r="I36" s="77">
        <v>0</v>
      </c>
      <c r="J36" s="77"/>
    </row>
    <row r="37" spans="1:10" x14ac:dyDescent="0.25">
      <c r="A37" s="232"/>
      <c r="B37" s="76" t="s">
        <v>243</v>
      </c>
      <c r="C37" s="77">
        <v>0</v>
      </c>
      <c r="D37" s="77"/>
      <c r="E37" s="77">
        <v>0</v>
      </c>
      <c r="F37" s="77"/>
      <c r="G37" s="77">
        <v>0</v>
      </c>
      <c r="H37" s="77"/>
      <c r="I37" s="77">
        <v>0</v>
      </c>
      <c r="J37" s="77"/>
    </row>
    <row r="38" spans="1:10" x14ac:dyDescent="0.25">
      <c r="A38" s="232"/>
      <c r="B38" s="76" t="s">
        <v>244</v>
      </c>
      <c r="C38" s="77">
        <v>0</v>
      </c>
      <c r="D38" s="77"/>
      <c r="E38" s="77">
        <v>0</v>
      </c>
      <c r="F38" s="77"/>
      <c r="G38" s="77">
        <v>0</v>
      </c>
      <c r="H38" s="77"/>
      <c r="I38" s="77">
        <v>0</v>
      </c>
      <c r="J38" s="77"/>
    </row>
    <row r="39" spans="1:10" x14ac:dyDescent="0.25">
      <c r="A39" s="232"/>
      <c r="B39" s="76" t="s">
        <v>245</v>
      </c>
      <c r="C39" s="77">
        <v>0</v>
      </c>
      <c r="D39" s="77"/>
      <c r="E39" s="77">
        <v>0</v>
      </c>
      <c r="F39" s="77"/>
      <c r="G39" s="77">
        <v>0</v>
      </c>
      <c r="H39" s="77"/>
      <c r="I39" s="77">
        <v>0</v>
      </c>
      <c r="J39" s="77"/>
    </row>
    <row r="40" spans="1:10" x14ac:dyDescent="0.25">
      <c r="A40" s="230" t="s">
        <v>246</v>
      </c>
      <c r="B40" s="79" t="s">
        <v>242</v>
      </c>
      <c r="C40" s="80">
        <f t="shared" ref="C40:J42" si="0">C4+C8+C12+C16+C20+C24+C28+C32</f>
        <v>96</v>
      </c>
      <c r="D40" s="80">
        <f t="shared" si="0"/>
        <v>0</v>
      </c>
      <c r="E40" s="80">
        <f t="shared" si="0"/>
        <v>126</v>
      </c>
      <c r="F40" s="80">
        <f t="shared" si="0"/>
        <v>0</v>
      </c>
      <c r="G40" s="80">
        <f t="shared" si="0"/>
        <v>7755</v>
      </c>
      <c r="H40" s="80">
        <f t="shared" si="0"/>
        <v>0</v>
      </c>
      <c r="I40" s="80">
        <f t="shared" si="0"/>
        <v>29</v>
      </c>
      <c r="J40" s="80">
        <f t="shared" si="0"/>
        <v>0</v>
      </c>
    </row>
    <row r="41" spans="1:10" x14ac:dyDescent="0.25">
      <c r="A41" s="230"/>
      <c r="B41" s="79" t="s">
        <v>243</v>
      </c>
      <c r="C41" s="80">
        <f t="shared" si="0"/>
        <v>0</v>
      </c>
      <c r="D41" s="80">
        <f t="shared" si="0"/>
        <v>0</v>
      </c>
      <c r="E41" s="80">
        <f t="shared" si="0"/>
        <v>0</v>
      </c>
      <c r="F41" s="80">
        <f t="shared" si="0"/>
        <v>0</v>
      </c>
      <c r="G41" s="80">
        <f t="shared" si="0"/>
        <v>0</v>
      </c>
      <c r="H41" s="80">
        <f t="shared" si="0"/>
        <v>0</v>
      </c>
      <c r="I41" s="80">
        <f t="shared" si="0"/>
        <v>0</v>
      </c>
      <c r="J41" s="80">
        <f t="shared" si="0"/>
        <v>0</v>
      </c>
    </row>
    <row r="42" spans="1:10" x14ac:dyDescent="0.25">
      <c r="A42" s="230"/>
      <c r="B42" s="79" t="s">
        <v>244</v>
      </c>
      <c r="C42" s="80">
        <f t="shared" si="0"/>
        <v>0</v>
      </c>
      <c r="D42" s="80">
        <f t="shared" si="0"/>
        <v>0</v>
      </c>
      <c r="E42" s="80">
        <f t="shared" si="0"/>
        <v>0</v>
      </c>
      <c r="F42" s="80">
        <f t="shared" si="0"/>
        <v>0</v>
      </c>
      <c r="G42" s="80">
        <f t="shared" si="0"/>
        <v>0</v>
      </c>
      <c r="H42" s="80">
        <f t="shared" si="0"/>
        <v>0</v>
      </c>
      <c r="I42" s="80">
        <f t="shared" si="0"/>
        <v>0</v>
      </c>
      <c r="J42" s="80">
        <f t="shared" si="0"/>
        <v>0</v>
      </c>
    </row>
    <row r="43" spans="1:10" x14ac:dyDescent="0.25">
      <c r="A43" s="230"/>
      <c r="B43" s="79" t="s">
        <v>245</v>
      </c>
      <c r="C43" s="80">
        <f>C7+C11+C15+C19+C23+C27+C35+C31</f>
        <v>0</v>
      </c>
      <c r="D43" s="80">
        <f t="shared" ref="D43:J43" si="1">D7+D11+D15+D19+D23+D27+D35+D31</f>
        <v>0</v>
      </c>
      <c r="E43" s="80">
        <f t="shared" si="1"/>
        <v>0</v>
      </c>
      <c r="F43" s="80">
        <f t="shared" si="1"/>
        <v>0</v>
      </c>
      <c r="G43" s="80">
        <f t="shared" si="1"/>
        <v>0</v>
      </c>
      <c r="H43" s="80">
        <f t="shared" si="1"/>
        <v>0</v>
      </c>
      <c r="I43" s="80">
        <f t="shared" si="1"/>
        <v>0</v>
      </c>
      <c r="J43" s="80">
        <f t="shared" si="1"/>
        <v>0</v>
      </c>
    </row>
    <row r="44" spans="1:10" ht="21" customHeight="1" x14ac:dyDescent="0.25">
      <c r="A44" s="231" t="s">
        <v>247</v>
      </c>
      <c r="B44" s="231"/>
      <c r="C44" s="78">
        <f>C40+C42+C41+C43</f>
        <v>96</v>
      </c>
      <c r="D44" s="78">
        <f t="shared" ref="D44:J44" si="2">D40+D42+D41+D43</f>
        <v>0</v>
      </c>
      <c r="E44" s="78">
        <f t="shared" si="2"/>
        <v>126</v>
      </c>
      <c r="F44" s="78">
        <f t="shared" si="2"/>
        <v>0</v>
      </c>
      <c r="G44" s="78">
        <f t="shared" si="2"/>
        <v>7755</v>
      </c>
      <c r="H44" s="78">
        <f t="shared" si="2"/>
        <v>0</v>
      </c>
      <c r="I44" s="78">
        <f t="shared" si="2"/>
        <v>29</v>
      </c>
      <c r="J44" s="78">
        <f t="shared" si="2"/>
        <v>0</v>
      </c>
    </row>
  </sheetData>
  <mergeCells count="18">
    <mergeCell ref="A1:A3"/>
    <mergeCell ref="B1:B3"/>
    <mergeCell ref="C1:D2"/>
    <mergeCell ref="E1:F2"/>
    <mergeCell ref="G1:J1"/>
    <mergeCell ref="G2:H2"/>
    <mergeCell ref="I2:J2"/>
    <mergeCell ref="A28:A31"/>
    <mergeCell ref="A32:A35"/>
    <mergeCell ref="A40:A43"/>
    <mergeCell ref="A44:B44"/>
    <mergeCell ref="A4:A7"/>
    <mergeCell ref="A8:A11"/>
    <mergeCell ref="A12:A15"/>
    <mergeCell ref="A16:A19"/>
    <mergeCell ref="A20:A23"/>
    <mergeCell ref="A24:A27"/>
    <mergeCell ref="A36:A39"/>
  </mergeCells>
  <pageMargins left="0.7" right="0.7" top="0.75" bottom="0.75" header="0.3" footer="0.3"/>
  <pageSetup paperSize="9" orientation="portrait" horizontalDpi="1200" verticalDpi="1200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96"/>
  <sheetViews>
    <sheetView zoomScale="70" zoomScaleNormal="70" workbookViewId="0">
      <selection activeCell="T82" sqref="T82"/>
    </sheetView>
  </sheetViews>
  <sheetFormatPr defaultColWidth="9.140625" defaultRowHeight="26.25" customHeight="1" x14ac:dyDescent="0.2"/>
  <cols>
    <col min="1" max="1" width="44.140625" style="14" customWidth="1"/>
    <col min="2" max="2" width="9.140625" style="14"/>
    <col min="3" max="3" width="9.140625" style="14" customWidth="1"/>
    <col min="4" max="4" width="11.7109375" style="14" customWidth="1"/>
    <col min="5" max="6" width="9.140625" style="14"/>
    <col min="7" max="7" width="11.7109375" style="14" customWidth="1"/>
    <col min="8" max="9" width="9.140625" style="14"/>
    <col min="10" max="10" width="11.85546875" style="14" customWidth="1"/>
    <col min="11" max="12" width="9.140625" style="14"/>
    <col min="13" max="13" width="11.7109375" style="14" customWidth="1"/>
    <col min="14" max="16384" width="9.140625" style="14"/>
  </cols>
  <sheetData>
    <row r="1" spans="1:19" ht="26.25" customHeight="1" x14ac:dyDescent="0.2">
      <c r="A1" s="199" t="s">
        <v>14</v>
      </c>
      <c r="B1" s="239" t="s">
        <v>104</v>
      </c>
      <c r="C1" s="240"/>
      <c r="D1" s="236" t="s">
        <v>105</v>
      </c>
      <c r="E1" s="239" t="s">
        <v>106</v>
      </c>
      <c r="F1" s="240"/>
      <c r="G1" s="236" t="s">
        <v>105</v>
      </c>
      <c r="H1" s="239" t="s">
        <v>107</v>
      </c>
      <c r="I1" s="240"/>
      <c r="J1" s="236" t="s">
        <v>105</v>
      </c>
      <c r="K1" s="239" t="s">
        <v>108</v>
      </c>
      <c r="L1" s="240"/>
      <c r="M1" s="236" t="s">
        <v>109</v>
      </c>
      <c r="N1" s="236" t="s">
        <v>219</v>
      </c>
      <c r="O1" s="236" t="s">
        <v>220</v>
      </c>
      <c r="P1" s="236" t="s">
        <v>221</v>
      </c>
      <c r="S1" s="14" t="s">
        <v>114</v>
      </c>
    </row>
    <row r="2" spans="1:19" ht="28.5" customHeight="1" thickBot="1" x14ac:dyDescent="0.25">
      <c r="A2" s="200"/>
      <c r="B2" s="241"/>
      <c r="C2" s="242"/>
      <c r="D2" s="237"/>
      <c r="E2" s="241"/>
      <c r="F2" s="242"/>
      <c r="G2" s="237"/>
      <c r="H2" s="241"/>
      <c r="I2" s="242"/>
      <c r="J2" s="237"/>
      <c r="K2" s="241"/>
      <c r="L2" s="242"/>
      <c r="M2" s="237"/>
      <c r="N2" s="237"/>
      <c r="O2" s="237"/>
      <c r="P2" s="237"/>
    </row>
    <row r="3" spans="1:19" ht="46.5" customHeight="1" thickBot="1" x14ac:dyDescent="0.25">
      <c r="A3" s="201"/>
      <c r="B3" s="37" t="s">
        <v>124</v>
      </c>
      <c r="C3" s="37" t="s">
        <v>228</v>
      </c>
      <c r="D3" s="238"/>
      <c r="E3" s="37" t="s">
        <v>124</v>
      </c>
      <c r="F3" s="37" t="s">
        <v>228</v>
      </c>
      <c r="G3" s="238"/>
      <c r="H3" s="37" t="s">
        <v>124</v>
      </c>
      <c r="I3" s="37" t="s">
        <v>228</v>
      </c>
      <c r="J3" s="238"/>
      <c r="K3" s="37" t="s">
        <v>124</v>
      </c>
      <c r="L3" s="37" t="s">
        <v>228</v>
      </c>
      <c r="M3" s="238"/>
      <c r="N3" s="238"/>
      <c r="O3" s="238"/>
      <c r="P3" s="238"/>
    </row>
    <row r="4" spans="1:19" ht="13.5" thickBot="1" x14ac:dyDescent="0.25">
      <c r="A4" s="235" t="s">
        <v>11</v>
      </c>
      <c r="B4" s="235"/>
      <c r="C4" s="235"/>
      <c r="D4" s="235"/>
      <c r="E4" s="235"/>
      <c r="F4" s="235"/>
      <c r="G4" s="235"/>
      <c r="H4" s="235"/>
      <c r="I4" s="235"/>
      <c r="J4" s="235"/>
      <c r="K4" s="235"/>
      <c r="L4" s="235"/>
      <c r="M4" s="235"/>
      <c r="N4" s="235"/>
      <c r="O4" s="235"/>
      <c r="P4" s="235"/>
    </row>
    <row r="5" spans="1:19" ht="13.5" thickBot="1" x14ac:dyDescent="0.25">
      <c r="A5" s="29" t="s">
        <v>126</v>
      </c>
      <c r="B5" s="19">
        <f>SUM(B6:B13)</f>
        <v>64</v>
      </c>
      <c r="C5" s="19">
        <f>SUM(C6:C13)</f>
        <v>0</v>
      </c>
      <c r="D5" s="44">
        <f>(C5-B5)/B5</f>
        <v>-1</v>
      </c>
      <c r="E5" s="19">
        <f>SUM(E6:E13)</f>
        <v>124</v>
      </c>
      <c r="F5" s="19">
        <f>SUM(F6:F13)</f>
        <v>0</v>
      </c>
      <c r="G5" s="44">
        <f>(F5-E5)/E5</f>
        <v>-1</v>
      </c>
      <c r="H5" s="19">
        <f>SUM(H6:H13)</f>
        <v>1562</v>
      </c>
      <c r="I5" s="19">
        <f>SUM(I6:I13)</f>
        <v>0</v>
      </c>
      <c r="J5" s="44">
        <f>(I5-H5)/H5</f>
        <v>-1</v>
      </c>
      <c r="K5" s="19">
        <f>SUM(K6:K13)</f>
        <v>271</v>
      </c>
      <c r="L5" s="19">
        <f>SUM(L6:L13)</f>
        <v>0</v>
      </c>
      <c r="M5" s="44">
        <f>(L5-K5)/K5</f>
        <v>-1</v>
      </c>
      <c r="N5" s="19">
        <f>C5-B5</f>
        <v>-64</v>
      </c>
      <c r="O5" s="19">
        <f>F5-E5</f>
        <v>-124</v>
      </c>
      <c r="P5" s="19">
        <f>L5-K5</f>
        <v>-271</v>
      </c>
    </row>
    <row r="6" spans="1:19" ht="13.5" thickBot="1" x14ac:dyDescent="0.25">
      <c r="A6" s="32" t="s">
        <v>127</v>
      </c>
      <c r="B6" s="5">
        <v>0</v>
      </c>
      <c r="C6" s="5">
        <v>0</v>
      </c>
      <c r="D6" s="44">
        <v>0</v>
      </c>
      <c r="E6" s="5">
        <v>0</v>
      </c>
      <c r="F6" s="5">
        <v>0</v>
      </c>
      <c r="G6" s="44">
        <v>0</v>
      </c>
      <c r="H6" s="5">
        <v>0</v>
      </c>
      <c r="I6" s="5">
        <v>0</v>
      </c>
      <c r="J6" s="44">
        <v>0</v>
      </c>
      <c r="K6" s="5">
        <v>0</v>
      </c>
      <c r="L6" s="5">
        <v>0</v>
      </c>
      <c r="M6" s="44">
        <v>0</v>
      </c>
      <c r="N6" s="16">
        <f t="shared" ref="N6:N68" si="0">C6-B6</f>
        <v>0</v>
      </c>
      <c r="O6" s="16">
        <f t="shared" ref="O6:O68" si="1">F6-E6</f>
        <v>0</v>
      </c>
      <c r="P6" s="16">
        <f t="shared" ref="P6:P68" si="2">L6-K6</f>
        <v>0</v>
      </c>
    </row>
    <row r="7" spans="1:19" ht="13.5" thickBot="1" x14ac:dyDescent="0.25">
      <c r="A7" s="32" t="s">
        <v>128</v>
      </c>
      <c r="B7" s="5">
        <v>8</v>
      </c>
      <c r="C7" s="5">
        <v>0</v>
      </c>
      <c r="D7" s="44">
        <f t="shared" ref="D7:D31" si="3">(C7-B7)/B7</f>
        <v>-1</v>
      </c>
      <c r="E7" s="5">
        <v>2</v>
      </c>
      <c r="F7" s="5">
        <v>0</v>
      </c>
      <c r="G7" s="44">
        <f t="shared" ref="G7:G24" si="4">(F7-E7)/E7</f>
        <v>-1</v>
      </c>
      <c r="H7" s="5">
        <v>17</v>
      </c>
      <c r="I7" s="5">
        <v>0</v>
      </c>
      <c r="J7" s="44">
        <f t="shared" ref="J7:J31" si="5">(I7-H7)/H7</f>
        <v>-1</v>
      </c>
      <c r="K7" s="5">
        <v>0</v>
      </c>
      <c r="L7" s="5">
        <v>0</v>
      </c>
      <c r="M7" s="44">
        <v>0</v>
      </c>
      <c r="N7" s="16">
        <f t="shared" si="0"/>
        <v>-8</v>
      </c>
      <c r="O7" s="16">
        <f t="shared" si="1"/>
        <v>-2</v>
      </c>
      <c r="P7" s="16">
        <f t="shared" si="2"/>
        <v>0</v>
      </c>
    </row>
    <row r="8" spans="1:19" ht="13.5" thickBot="1" x14ac:dyDescent="0.25">
      <c r="A8" s="32" t="s">
        <v>129</v>
      </c>
      <c r="B8" s="5">
        <v>0</v>
      </c>
      <c r="C8" s="5">
        <v>0</v>
      </c>
      <c r="D8" s="44">
        <v>0</v>
      </c>
      <c r="E8" s="5">
        <v>0</v>
      </c>
      <c r="F8" s="5">
        <v>0</v>
      </c>
      <c r="G8" s="44">
        <v>0</v>
      </c>
      <c r="H8" s="5">
        <v>0</v>
      </c>
      <c r="I8" s="5">
        <v>0</v>
      </c>
      <c r="J8" s="44">
        <v>0</v>
      </c>
      <c r="K8" s="5">
        <v>0</v>
      </c>
      <c r="L8" s="5">
        <v>0</v>
      </c>
      <c r="M8" s="44">
        <v>0</v>
      </c>
      <c r="N8" s="16">
        <f t="shared" si="0"/>
        <v>0</v>
      </c>
      <c r="O8" s="16">
        <f t="shared" si="1"/>
        <v>0</v>
      </c>
      <c r="P8" s="16">
        <f t="shared" si="2"/>
        <v>0</v>
      </c>
    </row>
    <row r="9" spans="1:19" thickBot="1" x14ac:dyDescent="0.25">
      <c r="A9" s="32" t="s">
        <v>130</v>
      </c>
      <c r="B9" s="5">
        <v>0</v>
      </c>
      <c r="C9" s="5">
        <v>0</v>
      </c>
      <c r="D9" s="44">
        <v>0</v>
      </c>
      <c r="E9" s="5">
        <v>0</v>
      </c>
      <c r="F9" s="5">
        <v>0</v>
      </c>
      <c r="G9" s="44">
        <v>0</v>
      </c>
      <c r="H9" s="5">
        <v>0</v>
      </c>
      <c r="I9" s="5">
        <v>0</v>
      </c>
      <c r="J9" s="44">
        <v>0</v>
      </c>
      <c r="K9" s="5">
        <v>0</v>
      </c>
      <c r="L9" s="5">
        <v>0</v>
      </c>
      <c r="M9" s="44">
        <v>0</v>
      </c>
      <c r="N9" s="16">
        <f t="shared" si="0"/>
        <v>0</v>
      </c>
      <c r="O9" s="16">
        <f t="shared" si="1"/>
        <v>0</v>
      </c>
      <c r="P9" s="16">
        <f t="shared" si="2"/>
        <v>0</v>
      </c>
    </row>
    <row r="10" spans="1:19" ht="13.5" thickBot="1" x14ac:dyDescent="0.25">
      <c r="A10" s="32" t="s">
        <v>131</v>
      </c>
      <c r="B10" s="5">
        <v>30</v>
      </c>
      <c r="C10" s="5">
        <v>0</v>
      </c>
      <c r="D10" s="44">
        <f t="shared" si="3"/>
        <v>-1</v>
      </c>
      <c r="E10" s="5">
        <v>67</v>
      </c>
      <c r="F10" s="5">
        <v>0</v>
      </c>
      <c r="G10" s="44">
        <f t="shared" si="4"/>
        <v>-1</v>
      </c>
      <c r="H10" s="5">
        <v>438</v>
      </c>
      <c r="I10" s="5">
        <v>0</v>
      </c>
      <c r="J10" s="44">
        <f t="shared" si="5"/>
        <v>-1</v>
      </c>
      <c r="K10" s="5">
        <v>130</v>
      </c>
      <c r="L10" s="5">
        <v>0</v>
      </c>
      <c r="M10" s="44">
        <f t="shared" ref="M10:M24" si="6">(L10-K10)/K10</f>
        <v>-1</v>
      </c>
      <c r="N10" s="16">
        <f t="shared" si="0"/>
        <v>-30</v>
      </c>
      <c r="O10" s="16">
        <f t="shared" si="1"/>
        <v>-67</v>
      </c>
      <c r="P10" s="16">
        <f t="shared" si="2"/>
        <v>-130</v>
      </c>
    </row>
    <row r="11" spans="1:19" ht="13.5" thickBot="1" x14ac:dyDescent="0.25">
      <c r="A11" s="32" t="s">
        <v>132</v>
      </c>
      <c r="B11" s="5">
        <v>9</v>
      </c>
      <c r="C11" s="5">
        <v>0</v>
      </c>
      <c r="D11" s="44">
        <f t="shared" si="3"/>
        <v>-1</v>
      </c>
      <c r="E11" s="5">
        <v>13</v>
      </c>
      <c r="F11" s="5">
        <v>0</v>
      </c>
      <c r="G11" s="44">
        <v>1</v>
      </c>
      <c r="H11" s="5">
        <v>23</v>
      </c>
      <c r="I11" s="5">
        <v>0</v>
      </c>
      <c r="J11" s="44">
        <v>1</v>
      </c>
      <c r="K11" s="5">
        <v>25</v>
      </c>
      <c r="L11" s="5">
        <v>0</v>
      </c>
      <c r="M11" s="44">
        <f t="shared" si="6"/>
        <v>-1</v>
      </c>
      <c r="N11" s="16">
        <f t="shared" si="0"/>
        <v>-9</v>
      </c>
      <c r="O11" s="16">
        <f t="shared" si="1"/>
        <v>-13</v>
      </c>
      <c r="P11" s="16">
        <f t="shared" si="2"/>
        <v>-25</v>
      </c>
    </row>
    <row r="12" spans="1:19" ht="13.5" thickBot="1" x14ac:dyDescent="0.25">
      <c r="A12" s="32" t="s">
        <v>133</v>
      </c>
      <c r="B12" s="5">
        <v>17</v>
      </c>
      <c r="C12" s="5">
        <v>0</v>
      </c>
      <c r="D12" s="44">
        <f t="shared" si="3"/>
        <v>-1</v>
      </c>
      <c r="E12" s="5">
        <v>42</v>
      </c>
      <c r="F12" s="5">
        <v>0</v>
      </c>
      <c r="G12" s="44">
        <f t="shared" si="4"/>
        <v>-1</v>
      </c>
      <c r="H12" s="5">
        <v>1084</v>
      </c>
      <c r="I12" s="5">
        <v>0</v>
      </c>
      <c r="J12" s="44">
        <f t="shared" si="5"/>
        <v>-1</v>
      </c>
      <c r="K12" s="5">
        <v>116</v>
      </c>
      <c r="L12" s="5">
        <v>0</v>
      </c>
      <c r="M12" s="44">
        <f t="shared" si="6"/>
        <v>-1</v>
      </c>
      <c r="N12" s="16">
        <f t="shared" si="0"/>
        <v>-17</v>
      </c>
      <c r="O12" s="16">
        <f t="shared" si="1"/>
        <v>-42</v>
      </c>
      <c r="P12" s="16">
        <f t="shared" si="2"/>
        <v>-116</v>
      </c>
    </row>
    <row r="13" spans="1:19" ht="39" thickBot="1" x14ac:dyDescent="0.25">
      <c r="A13" s="32" t="s">
        <v>134</v>
      </c>
      <c r="B13" s="5">
        <v>0</v>
      </c>
      <c r="C13" s="5">
        <v>0</v>
      </c>
      <c r="D13" s="44">
        <v>0</v>
      </c>
      <c r="E13" s="5">
        <v>0</v>
      </c>
      <c r="F13" s="5">
        <v>0</v>
      </c>
      <c r="G13" s="44">
        <v>0</v>
      </c>
      <c r="H13" s="5">
        <v>0</v>
      </c>
      <c r="I13" s="5">
        <v>0</v>
      </c>
      <c r="J13" s="44">
        <v>0</v>
      </c>
      <c r="K13" s="5">
        <v>0</v>
      </c>
      <c r="L13" s="5">
        <v>0</v>
      </c>
      <c r="M13" s="44">
        <v>0</v>
      </c>
      <c r="N13" s="16">
        <f t="shared" si="0"/>
        <v>0</v>
      </c>
      <c r="O13" s="16">
        <f t="shared" si="1"/>
        <v>0</v>
      </c>
      <c r="P13" s="16">
        <f t="shared" si="2"/>
        <v>0</v>
      </c>
    </row>
    <row r="14" spans="1:19" ht="39" thickBot="1" x14ac:dyDescent="0.25">
      <c r="A14" s="29" t="s">
        <v>135</v>
      </c>
      <c r="B14" s="19">
        <f>SUM(B15:B21)</f>
        <v>83</v>
      </c>
      <c r="C14" s="19">
        <f>SUM(C15:C21)</f>
        <v>0</v>
      </c>
      <c r="D14" s="44">
        <f t="shared" si="3"/>
        <v>-1</v>
      </c>
      <c r="E14" s="19">
        <f>SUM(E15:E21)</f>
        <v>55</v>
      </c>
      <c r="F14" s="19">
        <f>SUM(F15:F21)</f>
        <v>0</v>
      </c>
      <c r="G14" s="44">
        <f t="shared" si="4"/>
        <v>-1</v>
      </c>
      <c r="H14" s="19">
        <f>SUM(H15:H21)</f>
        <v>10647</v>
      </c>
      <c r="I14" s="19">
        <f>SUM(I15:I21)</f>
        <v>0</v>
      </c>
      <c r="J14" s="44">
        <f>(I14-H14)/H14</f>
        <v>-1</v>
      </c>
      <c r="K14" s="19">
        <f>SUM(K15:K21)</f>
        <v>121</v>
      </c>
      <c r="L14" s="19">
        <f>SUM(L15:L21)</f>
        <v>0</v>
      </c>
      <c r="M14" s="44">
        <f t="shared" si="6"/>
        <v>-1</v>
      </c>
      <c r="N14" s="19">
        <f t="shared" si="0"/>
        <v>-83</v>
      </c>
      <c r="O14" s="19">
        <f t="shared" si="1"/>
        <v>-55</v>
      </c>
      <c r="P14" s="19">
        <f t="shared" si="2"/>
        <v>-121</v>
      </c>
    </row>
    <row r="15" spans="1:19" ht="51.75" thickBot="1" x14ac:dyDescent="0.25">
      <c r="A15" s="32" t="s">
        <v>136</v>
      </c>
      <c r="B15" s="5">
        <v>19</v>
      </c>
      <c r="C15" s="5">
        <v>0</v>
      </c>
      <c r="D15" s="44">
        <f t="shared" si="3"/>
        <v>-1</v>
      </c>
      <c r="E15" s="5">
        <v>37</v>
      </c>
      <c r="F15" s="5">
        <v>0</v>
      </c>
      <c r="G15" s="44">
        <f t="shared" si="4"/>
        <v>-1</v>
      </c>
      <c r="H15" s="5">
        <v>815</v>
      </c>
      <c r="I15" s="5">
        <v>0</v>
      </c>
      <c r="J15" s="44">
        <f t="shared" si="5"/>
        <v>-1</v>
      </c>
      <c r="K15" s="5">
        <v>85</v>
      </c>
      <c r="L15" s="5">
        <v>0</v>
      </c>
      <c r="M15" s="44">
        <f t="shared" si="6"/>
        <v>-1</v>
      </c>
      <c r="N15" s="16">
        <f t="shared" si="0"/>
        <v>-19</v>
      </c>
      <c r="O15" s="16">
        <f t="shared" si="1"/>
        <v>-37</v>
      </c>
      <c r="P15" s="16">
        <f t="shared" si="2"/>
        <v>-85</v>
      </c>
    </row>
    <row r="16" spans="1:19" ht="64.5" thickBot="1" x14ac:dyDescent="0.25">
      <c r="A16" s="32" t="s">
        <v>138</v>
      </c>
      <c r="B16" s="5">
        <v>1</v>
      </c>
      <c r="C16" s="5">
        <v>0</v>
      </c>
      <c r="D16" s="44">
        <v>1</v>
      </c>
      <c r="E16" s="5">
        <v>1</v>
      </c>
      <c r="F16" s="5">
        <v>0</v>
      </c>
      <c r="G16" s="44">
        <v>1</v>
      </c>
      <c r="H16" s="5">
        <v>11</v>
      </c>
      <c r="I16" s="5">
        <v>0</v>
      </c>
      <c r="J16" s="44">
        <v>1</v>
      </c>
      <c r="K16" s="5">
        <v>13</v>
      </c>
      <c r="L16" s="5">
        <v>0</v>
      </c>
      <c r="M16" s="44">
        <v>1</v>
      </c>
      <c r="N16" s="16">
        <f t="shared" si="0"/>
        <v>-1</v>
      </c>
      <c r="O16" s="16">
        <f t="shared" si="1"/>
        <v>-1</v>
      </c>
      <c r="P16" s="16">
        <f t="shared" si="2"/>
        <v>-13</v>
      </c>
    </row>
    <row r="17" spans="1:27" ht="39" thickBot="1" x14ac:dyDescent="0.25">
      <c r="A17" s="32" t="s">
        <v>139</v>
      </c>
      <c r="B17" s="5">
        <v>1</v>
      </c>
      <c r="C17" s="5">
        <v>0</v>
      </c>
      <c r="D17" s="44">
        <f t="shared" si="3"/>
        <v>-1</v>
      </c>
      <c r="E17" s="5">
        <v>1</v>
      </c>
      <c r="F17" s="5">
        <v>0</v>
      </c>
      <c r="G17" s="44">
        <f t="shared" si="4"/>
        <v>-1</v>
      </c>
      <c r="H17" s="5">
        <v>9659</v>
      </c>
      <c r="I17" s="5">
        <v>0</v>
      </c>
      <c r="J17" s="44">
        <f t="shared" si="5"/>
        <v>-1</v>
      </c>
      <c r="K17" s="5">
        <v>0</v>
      </c>
      <c r="L17" s="5">
        <v>0</v>
      </c>
      <c r="M17" s="44" t="e">
        <f t="shared" si="6"/>
        <v>#DIV/0!</v>
      </c>
      <c r="N17" s="16">
        <f t="shared" si="0"/>
        <v>-1</v>
      </c>
      <c r="O17" s="16">
        <f t="shared" si="1"/>
        <v>-1</v>
      </c>
      <c r="P17" s="16">
        <f t="shared" si="2"/>
        <v>0</v>
      </c>
    </row>
    <row r="18" spans="1:27" ht="51.75" thickBot="1" x14ac:dyDescent="0.25">
      <c r="A18" s="32" t="s">
        <v>140</v>
      </c>
      <c r="B18" s="5">
        <v>0</v>
      </c>
      <c r="C18" s="5">
        <v>0</v>
      </c>
      <c r="D18" s="44">
        <v>0</v>
      </c>
      <c r="E18" s="5">
        <v>0</v>
      </c>
      <c r="F18" s="5">
        <v>0</v>
      </c>
      <c r="G18" s="44">
        <v>0</v>
      </c>
      <c r="H18" s="5">
        <v>0</v>
      </c>
      <c r="I18" s="5">
        <v>0</v>
      </c>
      <c r="J18" s="44">
        <v>0</v>
      </c>
      <c r="K18" s="5">
        <v>0</v>
      </c>
      <c r="L18" s="5">
        <v>0</v>
      </c>
      <c r="M18" s="44">
        <v>0</v>
      </c>
      <c r="N18" s="16">
        <f t="shared" si="0"/>
        <v>0</v>
      </c>
      <c r="O18" s="16">
        <f t="shared" si="1"/>
        <v>0</v>
      </c>
      <c r="P18" s="16">
        <f t="shared" si="2"/>
        <v>0</v>
      </c>
    </row>
    <row r="19" spans="1:27" ht="39" thickBot="1" x14ac:dyDescent="0.25">
      <c r="A19" s="32" t="s">
        <v>141</v>
      </c>
      <c r="B19" s="5">
        <v>2</v>
      </c>
      <c r="C19" s="5">
        <v>0</v>
      </c>
      <c r="D19" s="44">
        <v>1</v>
      </c>
      <c r="E19" s="5">
        <v>5</v>
      </c>
      <c r="F19" s="5">
        <v>0</v>
      </c>
      <c r="G19" s="44">
        <v>1</v>
      </c>
      <c r="H19" s="5">
        <v>5</v>
      </c>
      <c r="I19" s="5">
        <v>0</v>
      </c>
      <c r="J19" s="44">
        <v>1</v>
      </c>
      <c r="K19" s="5">
        <v>0</v>
      </c>
      <c r="L19" s="5">
        <v>0</v>
      </c>
      <c r="M19" s="44">
        <v>0</v>
      </c>
      <c r="N19" s="16">
        <f t="shared" si="0"/>
        <v>-2</v>
      </c>
      <c r="O19" s="16">
        <f t="shared" si="1"/>
        <v>-5</v>
      </c>
      <c r="P19" s="16">
        <f t="shared" si="2"/>
        <v>0</v>
      </c>
    </row>
    <row r="20" spans="1:27" thickBot="1" x14ac:dyDescent="0.25">
      <c r="A20" s="32" t="s">
        <v>142</v>
      </c>
      <c r="B20" s="5">
        <v>5</v>
      </c>
      <c r="C20" s="5">
        <v>0</v>
      </c>
      <c r="D20" s="44">
        <v>1</v>
      </c>
      <c r="E20" s="5">
        <v>5</v>
      </c>
      <c r="F20" s="5">
        <v>0</v>
      </c>
      <c r="G20" s="44">
        <v>1</v>
      </c>
      <c r="H20" s="5">
        <v>8</v>
      </c>
      <c r="I20" s="5">
        <v>0</v>
      </c>
      <c r="J20" s="44">
        <v>1</v>
      </c>
      <c r="K20" s="5">
        <v>7</v>
      </c>
      <c r="L20" s="5">
        <v>0</v>
      </c>
      <c r="M20" s="44">
        <v>1</v>
      </c>
      <c r="N20" s="16">
        <f t="shared" si="0"/>
        <v>-5</v>
      </c>
      <c r="O20" s="16">
        <f t="shared" si="1"/>
        <v>-5</v>
      </c>
      <c r="P20" s="16">
        <f t="shared" si="2"/>
        <v>-7</v>
      </c>
    </row>
    <row r="21" spans="1:27" ht="13.5" thickBot="1" x14ac:dyDescent="0.25">
      <c r="A21" s="32" t="s">
        <v>137</v>
      </c>
      <c r="B21" s="5">
        <v>55</v>
      </c>
      <c r="C21" s="5">
        <v>0</v>
      </c>
      <c r="D21" s="44">
        <v>1</v>
      </c>
      <c r="E21" s="5">
        <v>6</v>
      </c>
      <c r="F21" s="5">
        <v>0</v>
      </c>
      <c r="G21" s="44">
        <v>1</v>
      </c>
      <c r="H21" s="5">
        <v>149</v>
      </c>
      <c r="I21" s="5">
        <v>0</v>
      </c>
      <c r="J21" s="44">
        <v>1</v>
      </c>
      <c r="K21" s="5">
        <v>16</v>
      </c>
      <c r="L21" s="5">
        <v>0</v>
      </c>
      <c r="M21" s="44">
        <v>1</v>
      </c>
      <c r="N21" s="16">
        <f t="shared" si="0"/>
        <v>-55</v>
      </c>
      <c r="O21" s="16">
        <f t="shared" si="1"/>
        <v>-6</v>
      </c>
      <c r="P21" s="16">
        <f t="shared" si="2"/>
        <v>-16</v>
      </c>
    </row>
    <row r="22" spans="1:27" ht="13.5" thickBot="1" x14ac:dyDescent="0.25">
      <c r="A22" s="29" t="s">
        <v>143</v>
      </c>
      <c r="B22" s="19">
        <f>SUM(B23:B25)</f>
        <v>9</v>
      </c>
      <c r="C22" s="19">
        <f>SUM(C23:C25)</f>
        <v>0</v>
      </c>
      <c r="D22" s="44">
        <f t="shared" si="3"/>
        <v>-1</v>
      </c>
      <c r="E22" s="19">
        <f>SUM(E23:E25)</f>
        <v>0</v>
      </c>
      <c r="F22" s="19">
        <f>SUM(F23:F25)</f>
        <v>0</v>
      </c>
      <c r="G22" s="44" t="e">
        <f t="shared" si="4"/>
        <v>#DIV/0!</v>
      </c>
      <c r="H22" s="19">
        <f>SUM(H23:H25)</f>
        <v>88693</v>
      </c>
      <c r="I22" s="19">
        <f>SUM(I23:I25)</f>
        <v>0</v>
      </c>
      <c r="J22" s="44">
        <f t="shared" si="5"/>
        <v>-1</v>
      </c>
      <c r="K22" s="19">
        <f>SUM(K23:K25)</f>
        <v>0</v>
      </c>
      <c r="L22" s="19">
        <f>SUM(L23:L25)</f>
        <v>0</v>
      </c>
      <c r="M22" s="44" t="e">
        <f t="shared" si="6"/>
        <v>#DIV/0!</v>
      </c>
      <c r="N22" s="19">
        <f t="shared" si="0"/>
        <v>-9</v>
      </c>
      <c r="O22" s="19">
        <f t="shared" si="1"/>
        <v>0</v>
      </c>
      <c r="P22" s="19">
        <f t="shared" si="2"/>
        <v>0</v>
      </c>
    </row>
    <row r="23" spans="1:27" ht="13.5" thickBot="1" x14ac:dyDescent="0.25">
      <c r="A23" s="32" t="s">
        <v>144</v>
      </c>
      <c r="B23" s="5">
        <v>1</v>
      </c>
      <c r="C23" s="5">
        <v>0</v>
      </c>
      <c r="D23" s="44">
        <v>1</v>
      </c>
      <c r="E23" s="5">
        <v>0</v>
      </c>
      <c r="F23" s="5">
        <v>0</v>
      </c>
      <c r="G23" s="44">
        <v>0</v>
      </c>
      <c r="H23" s="5">
        <v>51</v>
      </c>
      <c r="I23" s="5">
        <v>0</v>
      </c>
      <c r="J23" s="44">
        <v>1</v>
      </c>
      <c r="K23" s="5">
        <v>0</v>
      </c>
      <c r="L23" s="5">
        <v>0</v>
      </c>
      <c r="M23" s="44">
        <v>0</v>
      </c>
      <c r="N23" s="16">
        <f t="shared" si="0"/>
        <v>-1</v>
      </c>
      <c r="O23" s="16">
        <f t="shared" si="1"/>
        <v>0</v>
      </c>
      <c r="P23" s="16">
        <f t="shared" si="2"/>
        <v>0</v>
      </c>
    </row>
    <row r="24" spans="1:27" ht="39" thickBot="1" x14ac:dyDescent="0.25">
      <c r="A24" s="32" t="s">
        <v>146</v>
      </c>
      <c r="B24" s="5">
        <v>8</v>
      </c>
      <c r="C24" s="5">
        <v>0</v>
      </c>
      <c r="D24" s="44">
        <f t="shared" si="3"/>
        <v>-1</v>
      </c>
      <c r="E24" s="5">
        <v>0</v>
      </c>
      <c r="F24" s="5">
        <v>0</v>
      </c>
      <c r="G24" s="44" t="e">
        <f t="shared" si="4"/>
        <v>#DIV/0!</v>
      </c>
      <c r="H24" s="5">
        <v>88642</v>
      </c>
      <c r="I24" s="5">
        <v>0</v>
      </c>
      <c r="J24" s="44">
        <f t="shared" si="5"/>
        <v>-1</v>
      </c>
      <c r="K24" s="5">
        <v>0</v>
      </c>
      <c r="L24" s="5">
        <v>0</v>
      </c>
      <c r="M24" s="44" t="e">
        <f t="shared" si="6"/>
        <v>#DIV/0!</v>
      </c>
      <c r="N24" s="16">
        <f t="shared" si="0"/>
        <v>-8</v>
      </c>
      <c r="O24" s="16">
        <f t="shared" si="1"/>
        <v>0</v>
      </c>
      <c r="P24" s="16">
        <f t="shared" si="2"/>
        <v>0</v>
      </c>
      <c r="AA24" s="14" t="s">
        <v>226</v>
      </c>
    </row>
    <row r="25" spans="1:27" ht="13.5" thickBot="1" x14ac:dyDescent="0.25">
      <c r="A25" s="32" t="s">
        <v>145</v>
      </c>
      <c r="B25" s="5">
        <v>0</v>
      </c>
      <c r="C25" s="5">
        <v>0</v>
      </c>
      <c r="D25" s="44">
        <v>0</v>
      </c>
      <c r="E25" s="5">
        <v>0</v>
      </c>
      <c r="F25" s="5">
        <v>0</v>
      </c>
      <c r="G25" s="44">
        <v>0</v>
      </c>
      <c r="H25" s="5">
        <v>0</v>
      </c>
      <c r="I25" s="5">
        <v>0</v>
      </c>
      <c r="J25" s="44">
        <v>0</v>
      </c>
      <c r="K25" s="5">
        <v>0</v>
      </c>
      <c r="L25" s="5">
        <v>0</v>
      </c>
      <c r="M25" s="44">
        <v>0</v>
      </c>
      <c r="N25" s="16">
        <f t="shared" si="0"/>
        <v>0</v>
      </c>
      <c r="O25" s="16">
        <f t="shared" si="1"/>
        <v>0</v>
      </c>
      <c r="P25" s="16">
        <f t="shared" si="2"/>
        <v>0</v>
      </c>
    </row>
    <row r="26" spans="1:27" thickBot="1" x14ac:dyDescent="0.25">
      <c r="A26" s="29" t="s">
        <v>147</v>
      </c>
      <c r="B26" s="19">
        <f>SUM(B27:B29)</f>
        <v>0</v>
      </c>
      <c r="C26" s="19">
        <f>SUM(C27:C29)</f>
        <v>0</v>
      </c>
      <c r="D26" s="44">
        <v>0</v>
      </c>
      <c r="E26" s="19">
        <f>SUM(E27:E29)</f>
        <v>0</v>
      </c>
      <c r="F26" s="19">
        <f>SUM(F27:F29)</f>
        <v>0</v>
      </c>
      <c r="G26" s="44">
        <v>0</v>
      </c>
      <c r="H26" s="19">
        <f>SUM(H27:H29)</f>
        <v>0</v>
      </c>
      <c r="I26" s="19">
        <f>SUM(I27:I29)</f>
        <v>0</v>
      </c>
      <c r="J26" s="44">
        <v>0</v>
      </c>
      <c r="K26" s="19">
        <f>SUM(K27:K29)</f>
        <v>0</v>
      </c>
      <c r="L26" s="19">
        <f>SUM(L27:L29)</f>
        <v>0</v>
      </c>
      <c r="M26" s="44">
        <v>0</v>
      </c>
      <c r="N26" s="19">
        <f t="shared" si="0"/>
        <v>0</v>
      </c>
      <c r="O26" s="19">
        <f t="shared" si="1"/>
        <v>0</v>
      </c>
      <c r="P26" s="19">
        <f t="shared" si="2"/>
        <v>0</v>
      </c>
    </row>
    <row r="27" spans="1:27" ht="39" thickBot="1" x14ac:dyDescent="0.25">
      <c r="A27" s="32" t="s">
        <v>149</v>
      </c>
      <c r="B27" s="5">
        <v>0</v>
      </c>
      <c r="C27" s="5">
        <v>0</v>
      </c>
      <c r="D27" s="44">
        <v>0</v>
      </c>
      <c r="E27" s="5">
        <v>0</v>
      </c>
      <c r="F27" s="5">
        <v>0</v>
      </c>
      <c r="G27" s="44">
        <v>0</v>
      </c>
      <c r="H27" s="5">
        <v>0</v>
      </c>
      <c r="I27" s="5">
        <v>0</v>
      </c>
      <c r="J27" s="44">
        <v>0</v>
      </c>
      <c r="K27" s="5">
        <v>0</v>
      </c>
      <c r="L27" s="5">
        <v>0</v>
      </c>
      <c r="M27" s="44">
        <v>0</v>
      </c>
      <c r="N27" s="16">
        <f t="shared" si="0"/>
        <v>0</v>
      </c>
      <c r="O27" s="16">
        <f t="shared" si="1"/>
        <v>0</v>
      </c>
      <c r="P27" s="16">
        <f t="shared" si="2"/>
        <v>0</v>
      </c>
    </row>
    <row r="28" spans="1:27" ht="51.75" thickBot="1" x14ac:dyDescent="0.25">
      <c r="A28" s="32" t="s">
        <v>150</v>
      </c>
      <c r="B28" s="5">
        <v>0</v>
      </c>
      <c r="C28" s="5">
        <v>0</v>
      </c>
      <c r="D28" s="44">
        <v>0</v>
      </c>
      <c r="E28" s="5">
        <v>0</v>
      </c>
      <c r="F28" s="5">
        <v>0</v>
      </c>
      <c r="G28" s="44">
        <v>0</v>
      </c>
      <c r="H28" s="5">
        <v>0</v>
      </c>
      <c r="I28" s="5">
        <v>0</v>
      </c>
      <c r="J28" s="44">
        <v>0</v>
      </c>
      <c r="K28" s="5">
        <v>0</v>
      </c>
      <c r="L28" s="5">
        <v>0</v>
      </c>
      <c r="M28" s="44">
        <v>0</v>
      </c>
      <c r="N28" s="16">
        <f t="shared" si="0"/>
        <v>0</v>
      </c>
      <c r="O28" s="16">
        <f t="shared" si="1"/>
        <v>0</v>
      </c>
      <c r="P28" s="16">
        <f t="shared" si="2"/>
        <v>0</v>
      </c>
    </row>
    <row r="29" spans="1:27" ht="13.5" thickBot="1" x14ac:dyDescent="0.25">
      <c r="A29" s="32" t="s">
        <v>148</v>
      </c>
      <c r="B29" s="5">
        <v>0</v>
      </c>
      <c r="C29" s="5">
        <v>0</v>
      </c>
      <c r="D29" s="44">
        <v>0</v>
      </c>
      <c r="E29" s="5">
        <v>0</v>
      </c>
      <c r="F29" s="5">
        <v>0</v>
      </c>
      <c r="G29" s="44">
        <v>0</v>
      </c>
      <c r="H29" s="5">
        <v>0</v>
      </c>
      <c r="I29" s="5">
        <v>0</v>
      </c>
      <c r="J29" s="44">
        <v>0</v>
      </c>
      <c r="K29" s="5">
        <v>0</v>
      </c>
      <c r="L29" s="5">
        <v>0</v>
      </c>
      <c r="M29" s="44">
        <v>0</v>
      </c>
      <c r="N29" s="16">
        <f t="shared" si="0"/>
        <v>0</v>
      </c>
      <c r="O29" s="16">
        <f t="shared" si="1"/>
        <v>0</v>
      </c>
      <c r="P29" s="16">
        <f t="shared" si="2"/>
        <v>0</v>
      </c>
    </row>
    <row r="30" spans="1:27" thickBot="1" x14ac:dyDescent="0.25">
      <c r="A30" s="29" t="s">
        <v>151</v>
      </c>
      <c r="B30" s="19">
        <f>SUM(B31)</f>
        <v>8</v>
      </c>
      <c r="C30" s="19">
        <f>SUM(C31)</f>
        <v>0</v>
      </c>
      <c r="D30" s="44">
        <f t="shared" si="3"/>
        <v>-1</v>
      </c>
      <c r="E30" s="19">
        <f>SUM(E31)</f>
        <v>2</v>
      </c>
      <c r="F30" s="19">
        <f>SUM(F31)</f>
        <v>0</v>
      </c>
      <c r="G30" s="44">
        <v>1</v>
      </c>
      <c r="H30" s="19">
        <f>SUM(H31)</f>
        <v>10</v>
      </c>
      <c r="I30" s="19">
        <f>SUM(I31)</f>
        <v>0</v>
      </c>
      <c r="J30" s="44">
        <f t="shared" si="5"/>
        <v>-1</v>
      </c>
      <c r="K30" s="19">
        <f>SUM(K31)</f>
        <v>8</v>
      </c>
      <c r="L30" s="19">
        <f>SUM(L31)</f>
        <v>0</v>
      </c>
      <c r="M30" s="44">
        <v>1</v>
      </c>
      <c r="N30" s="19">
        <f t="shared" si="0"/>
        <v>-8</v>
      </c>
      <c r="O30" s="19">
        <f t="shared" si="1"/>
        <v>-2</v>
      </c>
      <c r="P30" s="19">
        <f t="shared" si="2"/>
        <v>-8</v>
      </c>
    </row>
    <row r="31" spans="1:27" ht="77.25" thickBot="1" x14ac:dyDescent="0.25">
      <c r="A31" s="32" t="s">
        <v>152</v>
      </c>
      <c r="B31" s="5">
        <v>8</v>
      </c>
      <c r="C31" s="5">
        <v>0</v>
      </c>
      <c r="D31" s="44">
        <f t="shared" si="3"/>
        <v>-1</v>
      </c>
      <c r="E31" s="5">
        <v>2</v>
      </c>
      <c r="F31" s="5">
        <v>0</v>
      </c>
      <c r="G31" s="44">
        <v>1</v>
      </c>
      <c r="H31" s="5">
        <v>10</v>
      </c>
      <c r="I31" s="5">
        <v>0</v>
      </c>
      <c r="J31" s="44">
        <f t="shared" si="5"/>
        <v>-1</v>
      </c>
      <c r="K31" s="5">
        <v>8</v>
      </c>
      <c r="L31" s="5">
        <v>0</v>
      </c>
      <c r="M31" s="44">
        <v>1</v>
      </c>
      <c r="N31" s="16">
        <f t="shared" si="0"/>
        <v>-8</v>
      </c>
      <c r="O31" s="16">
        <f t="shared" si="1"/>
        <v>-2</v>
      </c>
      <c r="P31" s="16">
        <f t="shared" si="2"/>
        <v>-8</v>
      </c>
    </row>
    <row r="32" spans="1:27" ht="39" thickBot="1" x14ac:dyDescent="0.25">
      <c r="A32" s="29" t="s">
        <v>153</v>
      </c>
      <c r="B32" s="19">
        <f>SUM(B33:B35)</f>
        <v>0</v>
      </c>
      <c r="C32" s="19">
        <f>SUM(C33:C35)</f>
        <v>0</v>
      </c>
      <c r="D32" s="44">
        <v>0</v>
      </c>
      <c r="E32" s="19">
        <f>SUM(E33:E35)</f>
        <v>0</v>
      </c>
      <c r="F32" s="19">
        <f>SUM(F33:F35)</f>
        <v>0</v>
      </c>
      <c r="G32" s="44">
        <v>0</v>
      </c>
      <c r="H32" s="19">
        <f>SUM(H33:H35)</f>
        <v>0</v>
      </c>
      <c r="I32" s="19">
        <f>SUM(I33:I35)</f>
        <v>0</v>
      </c>
      <c r="J32" s="44">
        <v>0</v>
      </c>
      <c r="K32" s="19">
        <f>SUM(K33:K35)</f>
        <v>0</v>
      </c>
      <c r="L32" s="19">
        <f>SUM(L33:L35)</f>
        <v>0</v>
      </c>
      <c r="M32" s="44">
        <v>0</v>
      </c>
      <c r="N32" s="19">
        <f t="shared" si="0"/>
        <v>0</v>
      </c>
      <c r="O32" s="19">
        <f t="shared" si="1"/>
        <v>0</v>
      </c>
      <c r="P32" s="19">
        <f t="shared" si="2"/>
        <v>0</v>
      </c>
    </row>
    <row r="33" spans="1:27" ht="90" thickBot="1" x14ac:dyDescent="0.25">
      <c r="A33" s="32" t="s">
        <v>154</v>
      </c>
      <c r="B33" s="5">
        <v>0</v>
      </c>
      <c r="C33" s="5">
        <v>0</v>
      </c>
      <c r="D33" s="44">
        <v>0</v>
      </c>
      <c r="E33" s="5">
        <v>0</v>
      </c>
      <c r="F33" s="5">
        <v>0</v>
      </c>
      <c r="G33" s="44">
        <v>0</v>
      </c>
      <c r="H33" s="5">
        <v>0</v>
      </c>
      <c r="I33" s="5">
        <v>0</v>
      </c>
      <c r="J33" s="44">
        <v>0</v>
      </c>
      <c r="K33" s="5">
        <v>0</v>
      </c>
      <c r="L33" s="5">
        <v>0</v>
      </c>
      <c r="M33" s="44">
        <v>0</v>
      </c>
      <c r="N33" s="16">
        <f t="shared" si="0"/>
        <v>0</v>
      </c>
      <c r="O33" s="16">
        <f t="shared" si="1"/>
        <v>0</v>
      </c>
      <c r="P33" s="16">
        <f t="shared" si="2"/>
        <v>0</v>
      </c>
    </row>
    <row r="34" spans="1:27" ht="90" thickBot="1" x14ac:dyDescent="0.25">
      <c r="A34" s="32" t="s">
        <v>155</v>
      </c>
      <c r="B34" s="5">
        <v>0</v>
      </c>
      <c r="C34" s="5">
        <v>0</v>
      </c>
      <c r="D34" s="44">
        <v>0</v>
      </c>
      <c r="E34" s="5">
        <v>0</v>
      </c>
      <c r="F34" s="5">
        <v>0</v>
      </c>
      <c r="G34" s="44">
        <v>0</v>
      </c>
      <c r="H34" s="5">
        <v>0</v>
      </c>
      <c r="I34" s="5">
        <v>0</v>
      </c>
      <c r="J34" s="44">
        <v>0</v>
      </c>
      <c r="K34" s="5">
        <v>0</v>
      </c>
      <c r="L34" s="5">
        <v>0</v>
      </c>
      <c r="M34" s="44">
        <v>0</v>
      </c>
      <c r="N34" s="16">
        <f t="shared" si="0"/>
        <v>0</v>
      </c>
      <c r="O34" s="16">
        <f t="shared" si="1"/>
        <v>0</v>
      </c>
      <c r="P34" s="16">
        <f t="shared" si="2"/>
        <v>0</v>
      </c>
    </row>
    <row r="35" spans="1:27" ht="39" thickBot="1" x14ac:dyDescent="0.25">
      <c r="A35" s="32" t="s">
        <v>156</v>
      </c>
      <c r="B35" s="5">
        <v>0</v>
      </c>
      <c r="C35" s="5">
        <v>0</v>
      </c>
      <c r="D35" s="44">
        <v>0</v>
      </c>
      <c r="E35" s="5">
        <v>0</v>
      </c>
      <c r="F35" s="5">
        <v>0</v>
      </c>
      <c r="G35" s="44">
        <v>0</v>
      </c>
      <c r="H35" s="5">
        <v>0</v>
      </c>
      <c r="I35" s="5">
        <v>0</v>
      </c>
      <c r="J35" s="44">
        <v>0</v>
      </c>
      <c r="K35" s="5">
        <v>0</v>
      </c>
      <c r="L35" s="5">
        <v>0</v>
      </c>
      <c r="M35" s="44">
        <v>0</v>
      </c>
      <c r="N35" s="16">
        <f t="shared" si="0"/>
        <v>0</v>
      </c>
      <c r="O35" s="16">
        <f t="shared" si="1"/>
        <v>0</v>
      </c>
      <c r="P35" s="16">
        <f t="shared" si="2"/>
        <v>0</v>
      </c>
    </row>
    <row r="36" spans="1:27" thickBot="1" x14ac:dyDescent="0.25">
      <c r="A36" s="29" t="s">
        <v>157</v>
      </c>
      <c r="B36" s="19">
        <f>SUM(B37)</f>
        <v>0</v>
      </c>
      <c r="C36" s="19">
        <f>SUM(C37)</f>
        <v>0</v>
      </c>
      <c r="D36" s="44">
        <v>0</v>
      </c>
      <c r="E36" s="19">
        <f>SUM(E37)</f>
        <v>0</v>
      </c>
      <c r="F36" s="19">
        <f>SUM(F37)</f>
        <v>0</v>
      </c>
      <c r="G36" s="44">
        <v>0</v>
      </c>
      <c r="H36" s="19">
        <f>SUM(H37)</f>
        <v>0</v>
      </c>
      <c r="I36" s="19">
        <f>SUM(I37)</f>
        <v>0</v>
      </c>
      <c r="J36" s="44">
        <v>0</v>
      </c>
      <c r="K36" s="19">
        <f>SUM(K37)</f>
        <v>0</v>
      </c>
      <c r="L36" s="19">
        <f>SUM(L37)</f>
        <v>0</v>
      </c>
      <c r="M36" s="44">
        <v>0</v>
      </c>
      <c r="N36" s="19">
        <f t="shared" si="0"/>
        <v>0</v>
      </c>
      <c r="O36" s="19">
        <f t="shared" si="1"/>
        <v>0</v>
      </c>
      <c r="P36" s="19">
        <f t="shared" si="2"/>
        <v>0</v>
      </c>
    </row>
    <row r="37" spans="1:27" ht="51.75" thickBot="1" x14ac:dyDescent="0.25">
      <c r="A37" s="32" t="s">
        <v>158</v>
      </c>
      <c r="B37" s="5">
        <v>0</v>
      </c>
      <c r="C37" s="5">
        <v>0</v>
      </c>
      <c r="D37" s="44">
        <v>0</v>
      </c>
      <c r="E37" s="5">
        <v>0</v>
      </c>
      <c r="F37" s="5">
        <v>0</v>
      </c>
      <c r="G37" s="44">
        <v>0</v>
      </c>
      <c r="H37" s="5">
        <v>0</v>
      </c>
      <c r="I37" s="5">
        <v>0</v>
      </c>
      <c r="J37" s="44">
        <v>0</v>
      </c>
      <c r="K37" s="5">
        <v>0</v>
      </c>
      <c r="L37" s="5">
        <v>0</v>
      </c>
      <c r="M37" s="44">
        <v>0</v>
      </c>
      <c r="N37" s="16">
        <f t="shared" si="0"/>
        <v>0</v>
      </c>
      <c r="O37" s="16">
        <f t="shared" si="1"/>
        <v>0</v>
      </c>
      <c r="P37" s="16">
        <f t="shared" si="2"/>
        <v>0</v>
      </c>
    </row>
    <row r="38" spans="1:27" ht="13.5" thickBot="1" x14ac:dyDescent="0.25">
      <c r="A38" s="29" t="s">
        <v>159</v>
      </c>
      <c r="B38" s="19">
        <f>SUM(B39)</f>
        <v>0</v>
      </c>
      <c r="C38" s="19">
        <f>SUM(C39)</f>
        <v>0</v>
      </c>
      <c r="D38" s="44">
        <v>0</v>
      </c>
      <c r="E38" s="19">
        <f>SUM(E39)</f>
        <v>0</v>
      </c>
      <c r="F38" s="19">
        <f>SUM(F39)</f>
        <v>0</v>
      </c>
      <c r="G38" s="44">
        <v>0</v>
      </c>
      <c r="H38" s="19">
        <f>SUM(H39)</f>
        <v>0</v>
      </c>
      <c r="I38" s="19">
        <f>SUM(I39)</f>
        <v>0</v>
      </c>
      <c r="J38" s="44">
        <v>0</v>
      </c>
      <c r="K38" s="19">
        <f>SUM(K39)</f>
        <v>0</v>
      </c>
      <c r="L38" s="19">
        <f>SUM(L39)</f>
        <v>0</v>
      </c>
      <c r="M38" s="44">
        <v>0</v>
      </c>
      <c r="N38" s="19">
        <f t="shared" si="0"/>
        <v>0</v>
      </c>
      <c r="O38" s="19">
        <f t="shared" si="1"/>
        <v>0</v>
      </c>
      <c r="P38" s="19">
        <f t="shared" si="2"/>
        <v>0</v>
      </c>
    </row>
    <row r="39" spans="1:27" ht="13.5" thickBot="1" x14ac:dyDescent="0.25">
      <c r="A39" s="32" t="s">
        <v>160</v>
      </c>
      <c r="B39" s="5">
        <v>0</v>
      </c>
      <c r="C39" s="5">
        <v>0</v>
      </c>
      <c r="D39" s="44">
        <v>0</v>
      </c>
      <c r="E39" s="5">
        <v>0</v>
      </c>
      <c r="F39" s="5">
        <v>0</v>
      </c>
      <c r="G39" s="44">
        <v>0</v>
      </c>
      <c r="H39" s="5">
        <v>0</v>
      </c>
      <c r="I39" s="5">
        <v>0</v>
      </c>
      <c r="J39" s="44">
        <v>0</v>
      </c>
      <c r="K39" s="5">
        <v>0</v>
      </c>
      <c r="L39" s="5">
        <v>0</v>
      </c>
      <c r="M39" s="44">
        <v>0</v>
      </c>
      <c r="N39" s="16">
        <f t="shared" si="0"/>
        <v>0</v>
      </c>
      <c r="O39" s="16">
        <f t="shared" si="1"/>
        <v>0</v>
      </c>
      <c r="P39" s="16">
        <f t="shared" si="2"/>
        <v>0</v>
      </c>
    </row>
    <row r="40" spans="1:27" ht="13.5" thickBot="1" x14ac:dyDescent="0.25">
      <c r="A40" s="30" t="s">
        <v>13</v>
      </c>
      <c r="B40" s="34">
        <f>SUM(B5,B14,B22,B26,B30,B32,B36,B38)</f>
        <v>164</v>
      </c>
      <c r="C40" s="34">
        <f>SUM(C5,C14,C22,C26,C30,C32,C36,C38)</f>
        <v>0</v>
      </c>
      <c r="D40" s="44">
        <f>(C40-B40)/B40</f>
        <v>-1</v>
      </c>
      <c r="E40" s="34">
        <f>SUM(E5,E14,E22,E26,E30,E32,E36,E38)</f>
        <v>181</v>
      </c>
      <c r="F40" s="34">
        <f>SUM(F5,F14,F22,F26,F30,F32,F36,F38)</f>
        <v>0</v>
      </c>
      <c r="G40" s="44">
        <f>(F40-E40)/E40</f>
        <v>-1</v>
      </c>
      <c r="H40" s="34">
        <f>SUM(H5,H14,H22,H26,H30,H32,H36,H38)</f>
        <v>100912</v>
      </c>
      <c r="I40" s="34">
        <f>SUM(I5,I14,I22,I26,I30,I32,I36,I38)</f>
        <v>0</v>
      </c>
      <c r="J40" s="44">
        <f>(I40-H40)/H40</f>
        <v>-1</v>
      </c>
      <c r="K40" s="34">
        <f>SUM(K5,K14,K22,K26,K30,K32,K36,K38)</f>
        <v>400</v>
      </c>
      <c r="L40" s="34">
        <f>SUM(L5,L14,L22,L26,L30,L32,L36,L38)</f>
        <v>0</v>
      </c>
      <c r="M40" s="44">
        <f>(L40-K40)/K40</f>
        <v>-1</v>
      </c>
      <c r="N40" s="34">
        <f t="shared" si="0"/>
        <v>-164</v>
      </c>
      <c r="O40" s="34">
        <f t="shared" si="1"/>
        <v>-181</v>
      </c>
      <c r="P40" s="40">
        <f t="shared" si="2"/>
        <v>-400</v>
      </c>
      <c r="Q40" s="41"/>
      <c r="R40" s="41"/>
      <c r="S40" s="41"/>
      <c r="T40" s="41"/>
      <c r="U40" s="41"/>
      <c r="V40" s="41"/>
      <c r="W40" s="41"/>
      <c r="X40" s="41"/>
      <c r="Y40" s="41"/>
      <c r="Z40" s="41"/>
      <c r="AA40" s="41"/>
    </row>
    <row r="41" spans="1:27" ht="13.5" thickBot="1" x14ac:dyDescent="0.25">
      <c r="A41" s="235" t="s">
        <v>12</v>
      </c>
      <c r="B41" s="235"/>
      <c r="C41" s="235"/>
      <c r="D41" s="235"/>
      <c r="E41" s="235"/>
      <c r="F41" s="235"/>
      <c r="G41" s="235"/>
      <c r="H41" s="235"/>
      <c r="I41" s="235"/>
      <c r="J41" s="235"/>
      <c r="K41" s="235"/>
      <c r="L41" s="235"/>
      <c r="M41" s="235"/>
      <c r="N41" s="235"/>
      <c r="O41" s="235"/>
      <c r="P41" s="203"/>
      <c r="Q41" s="41"/>
      <c r="R41" s="41"/>
      <c r="S41" s="41"/>
      <c r="T41" s="41"/>
      <c r="U41" s="41"/>
      <c r="V41" s="41"/>
      <c r="W41" s="41"/>
      <c r="X41" s="41"/>
      <c r="Y41" s="41"/>
      <c r="Z41" s="41"/>
      <c r="AA41" s="41"/>
    </row>
    <row r="42" spans="1:27" ht="13.5" thickBot="1" x14ac:dyDescent="0.25">
      <c r="A42" s="29" t="s">
        <v>163</v>
      </c>
      <c r="B42" s="19">
        <f>SUM(B43:B44)</f>
        <v>0</v>
      </c>
      <c r="C42" s="19">
        <f>SUM(C43:C44)</f>
        <v>0</v>
      </c>
      <c r="D42" s="44">
        <v>0</v>
      </c>
      <c r="E42" s="19">
        <f>SUM(E43:E44)</f>
        <v>0</v>
      </c>
      <c r="F42" s="19">
        <f>SUM(F43:F44)</f>
        <v>0</v>
      </c>
      <c r="G42" s="44">
        <v>0</v>
      </c>
      <c r="H42" s="19">
        <f>SUM(H43:H44)</f>
        <v>0</v>
      </c>
      <c r="I42" s="19">
        <f>SUM(I43:I44)</f>
        <v>0</v>
      </c>
      <c r="J42" s="44">
        <v>0</v>
      </c>
      <c r="K42" s="19">
        <f>SUM(K43:K44)</f>
        <v>0</v>
      </c>
      <c r="L42" s="19">
        <f>SUM(L43:L44)</f>
        <v>0</v>
      </c>
      <c r="M42" s="44">
        <v>0</v>
      </c>
      <c r="N42" s="19">
        <f t="shared" si="0"/>
        <v>0</v>
      </c>
      <c r="O42" s="19">
        <f t="shared" si="1"/>
        <v>0</v>
      </c>
      <c r="P42" s="19">
        <f t="shared" si="2"/>
        <v>0</v>
      </c>
    </row>
    <row r="43" spans="1:27" ht="13.5" thickBot="1" x14ac:dyDescent="0.25">
      <c r="A43" s="32" t="s">
        <v>164</v>
      </c>
      <c r="B43" s="5">
        <v>0</v>
      </c>
      <c r="C43" s="5">
        <v>0</v>
      </c>
      <c r="D43" s="44">
        <v>0</v>
      </c>
      <c r="E43" s="5">
        <v>0</v>
      </c>
      <c r="F43" s="5">
        <v>0</v>
      </c>
      <c r="G43" s="44">
        <v>0</v>
      </c>
      <c r="H43" s="5">
        <v>0</v>
      </c>
      <c r="I43" s="5">
        <v>0</v>
      </c>
      <c r="J43" s="44">
        <v>0</v>
      </c>
      <c r="K43" s="5">
        <v>0</v>
      </c>
      <c r="L43" s="5">
        <v>0</v>
      </c>
      <c r="M43" s="44">
        <v>0</v>
      </c>
      <c r="N43" s="16">
        <f t="shared" si="0"/>
        <v>0</v>
      </c>
      <c r="O43" s="16">
        <f t="shared" si="1"/>
        <v>0</v>
      </c>
      <c r="P43" s="16">
        <f t="shared" si="2"/>
        <v>0</v>
      </c>
    </row>
    <row r="44" spans="1:27" ht="13.5" thickBot="1" x14ac:dyDescent="0.25">
      <c r="A44" s="32" t="s">
        <v>165</v>
      </c>
      <c r="B44" s="5">
        <v>0</v>
      </c>
      <c r="C44" s="5">
        <v>0</v>
      </c>
      <c r="D44" s="44">
        <v>0</v>
      </c>
      <c r="E44" s="5">
        <v>0</v>
      </c>
      <c r="F44" s="5">
        <v>0</v>
      </c>
      <c r="G44" s="44">
        <v>0</v>
      </c>
      <c r="H44" s="5">
        <v>0</v>
      </c>
      <c r="I44" s="5">
        <v>0</v>
      </c>
      <c r="J44" s="44">
        <v>0</v>
      </c>
      <c r="K44" s="5">
        <v>0</v>
      </c>
      <c r="L44" s="5">
        <v>0</v>
      </c>
      <c r="M44" s="44">
        <v>0</v>
      </c>
      <c r="N44" s="16">
        <f t="shared" si="0"/>
        <v>0</v>
      </c>
      <c r="O44" s="16">
        <f t="shared" si="1"/>
        <v>0</v>
      </c>
      <c r="P44" s="16">
        <f t="shared" si="2"/>
        <v>0</v>
      </c>
    </row>
    <row r="45" spans="1:27" ht="13.5" thickBot="1" x14ac:dyDescent="0.25">
      <c r="A45" s="29" t="s">
        <v>166</v>
      </c>
      <c r="B45" s="19">
        <f>SUM(B46:B49)</f>
        <v>3</v>
      </c>
      <c r="C45" s="19">
        <f>SUM(C46:C49)</f>
        <v>0</v>
      </c>
      <c r="D45" s="44">
        <f>(C45-B45)/B45</f>
        <v>-1</v>
      </c>
      <c r="E45" s="19">
        <f>SUM(E46:E49)</f>
        <v>0</v>
      </c>
      <c r="F45" s="19">
        <f>SUM(F46:F49)</f>
        <v>0</v>
      </c>
      <c r="G45" s="44">
        <v>0</v>
      </c>
      <c r="H45" s="19">
        <f>SUM(H46:H49)</f>
        <v>879</v>
      </c>
      <c r="I45" s="19">
        <f>SUM(I46:I49)</f>
        <v>0</v>
      </c>
      <c r="J45" s="44">
        <f>(I45-H45)/H45</f>
        <v>-1</v>
      </c>
      <c r="K45" s="19">
        <f>SUM(K46:K49)</f>
        <v>0</v>
      </c>
      <c r="L45" s="19">
        <f>SUM(L46:L49)</f>
        <v>0</v>
      </c>
      <c r="M45" s="44">
        <v>0</v>
      </c>
      <c r="N45" s="19">
        <f t="shared" si="0"/>
        <v>-3</v>
      </c>
      <c r="O45" s="19">
        <f t="shared" si="1"/>
        <v>0</v>
      </c>
      <c r="P45" s="19">
        <f t="shared" si="2"/>
        <v>0</v>
      </c>
    </row>
    <row r="46" spans="1:27" ht="13.5" thickBot="1" x14ac:dyDescent="0.25">
      <c r="A46" s="32" t="s">
        <v>167</v>
      </c>
      <c r="B46" s="5">
        <v>1</v>
      </c>
      <c r="C46" s="5">
        <v>0</v>
      </c>
      <c r="D46" s="44">
        <f>(C46-B46)/B46</f>
        <v>-1</v>
      </c>
      <c r="E46" s="5">
        <v>0</v>
      </c>
      <c r="F46" s="5">
        <v>0</v>
      </c>
      <c r="G46" s="44">
        <v>0</v>
      </c>
      <c r="H46" s="5">
        <v>681</v>
      </c>
      <c r="I46" s="5">
        <v>0</v>
      </c>
      <c r="J46" s="44">
        <f t="shared" ref="J46:J81" si="7">(I46-H46)/H46</f>
        <v>-1</v>
      </c>
      <c r="K46" s="5">
        <v>0</v>
      </c>
      <c r="L46" s="5">
        <v>0</v>
      </c>
      <c r="M46" s="44">
        <v>0</v>
      </c>
      <c r="N46" s="16">
        <f t="shared" si="0"/>
        <v>-1</v>
      </c>
      <c r="O46" s="16">
        <f t="shared" si="1"/>
        <v>0</v>
      </c>
      <c r="P46" s="16">
        <f t="shared" si="2"/>
        <v>0</v>
      </c>
    </row>
    <row r="47" spans="1:27" ht="13.5" thickBot="1" x14ac:dyDescent="0.25">
      <c r="A47" s="32" t="s">
        <v>168</v>
      </c>
      <c r="B47" s="5">
        <v>2</v>
      </c>
      <c r="C47" s="5">
        <v>0</v>
      </c>
      <c r="D47" s="44">
        <v>1</v>
      </c>
      <c r="E47" s="5">
        <v>0</v>
      </c>
      <c r="F47" s="5">
        <v>0</v>
      </c>
      <c r="G47" s="44">
        <v>0</v>
      </c>
      <c r="H47" s="5">
        <v>198</v>
      </c>
      <c r="I47" s="5">
        <v>0</v>
      </c>
      <c r="J47" s="44">
        <v>1</v>
      </c>
      <c r="K47" s="5">
        <v>0</v>
      </c>
      <c r="L47" s="5">
        <v>0</v>
      </c>
      <c r="M47" s="44">
        <v>0</v>
      </c>
      <c r="N47" s="16">
        <f t="shared" si="0"/>
        <v>-2</v>
      </c>
      <c r="O47" s="16">
        <f t="shared" si="1"/>
        <v>0</v>
      </c>
      <c r="P47" s="16">
        <f t="shared" si="2"/>
        <v>0</v>
      </c>
    </row>
    <row r="48" spans="1:27" ht="13.5" thickBot="1" x14ac:dyDescent="0.25">
      <c r="A48" s="32" t="s">
        <v>169</v>
      </c>
      <c r="B48" s="5">
        <v>0</v>
      </c>
      <c r="C48" s="5">
        <v>0</v>
      </c>
      <c r="D48" s="44">
        <v>0</v>
      </c>
      <c r="E48" s="5">
        <v>0</v>
      </c>
      <c r="F48" s="5">
        <v>0</v>
      </c>
      <c r="G48" s="44">
        <v>0</v>
      </c>
      <c r="H48" s="5">
        <v>0</v>
      </c>
      <c r="I48" s="5">
        <v>0</v>
      </c>
      <c r="J48" s="44">
        <v>0</v>
      </c>
      <c r="K48" s="5">
        <v>0</v>
      </c>
      <c r="L48" s="5">
        <v>0</v>
      </c>
      <c r="M48" s="44">
        <v>0</v>
      </c>
      <c r="N48" s="16">
        <f t="shared" si="0"/>
        <v>0</v>
      </c>
      <c r="O48" s="16">
        <f t="shared" si="1"/>
        <v>0</v>
      </c>
      <c r="P48" s="16">
        <f t="shared" si="2"/>
        <v>0</v>
      </c>
    </row>
    <row r="49" spans="1:16" thickBot="1" x14ac:dyDescent="0.25">
      <c r="A49" s="32" t="s">
        <v>217</v>
      </c>
      <c r="B49" s="5">
        <v>0</v>
      </c>
      <c r="C49" s="5">
        <v>0</v>
      </c>
      <c r="D49" s="44">
        <v>0</v>
      </c>
      <c r="E49" s="5">
        <v>0</v>
      </c>
      <c r="F49" s="5">
        <v>0</v>
      </c>
      <c r="G49" s="44">
        <v>0</v>
      </c>
      <c r="H49" s="5">
        <v>0</v>
      </c>
      <c r="I49" s="5">
        <v>0</v>
      </c>
      <c r="J49" s="44">
        <v>0</v>
      </c>
      <c r="K49" s="5">
        <v>0</v>
      </c>
      <c r="L49" s="5">
        <v>0</v>
      </c>
      <c r="M49" s="44">
        <v>0</v>
      </c>
      <c r="N49" s="16">
        <f t="shared" si="0"/>
        <v>0</v>
      </c>
      <c r="O49" s="16">
        <f t="shared" si="1"/>
        <v>0</v>
      </c>
      <c r="P49" s="16">
        <f t="shared" si="2"/>
        <v>0</v>
      </c>
    </row>
    <row r="50" spans="1:16" ht="13.5" thickBot="1" x14ac:dyDescent="0.25">
      <c r="A50" s="29" t="s">
        <v>170</v>
      </c>
      <c r="B50" s="19">
        <f>SUM(B51:B67)</f>
        <v>36</v>
      </c>
      <c r="C50" s="19">
        <f>SUM(C51:C67)</f>
        <v>0</v>
      </c>
      <c r="D50" s="44">
        <f>(C50-B50)/B50</f>
        <v>-1</v>
      </c>
      <c r="E50" s="19">
        <f>SUM(E51:E67)</f>
        <v>8</v>
      </c>
      <c r="F50" s="19">
        <f>SUM(F51:F67)</f>
        <v>0</v>
      </c>
      <c r="G50" s="44">
        <f>(F50-E50)/E50</f>
        <v>-1</v>
      </c>
      <c r="H50" s="19">
        <f>SUM(H51:H67)</f>
        <v>77954</v>
      </c>
      <c r="I50" s="19">
        <f>SUM(I51:I67)</f>
        <v>0</v>
      </c>
      <c r="J50" s="44">
        <f>(I50-H50)/H50</f>
        <v>-1</v>
      </c>
      <c r="K50" s="19">
        <f>SUM(K51:K67)</f>
        <v>2</v>
      </c>
      <c r="L50" s="19">
        <f>SUM(L51:L67)</f>
        <v>0</v>
      </c>
      <c r="M50" s="44">
        <f>(L50-K50)/K50</f>
        <v>-1</v>
      </c>
      <c r="N50" s="19">
        <f t="shared" si="0"/>
        <v>-36</v>
      </c>
      <c r="O50" s="19">
        <f t="shared" si="1"/>
        <v>-8</v>
      </c>
      <c r="P50" s="19">
        <f t="shared" si="2"/>
        <v>-2</v>
      </c>
    </row>
    <row r="51" spans="1:16" thickBot="1" x14ac:dyDescent="0.25">
      <c r="A51" s="32" t="s">
        <v>187</v>
      </c>
      <c r="B51" s="5">
        <v>9</v>
      </c>
      <c r="C51" s="5">
        <v>0</v>
      </c>
      <c r="D51" s="44">
        <f t="shared" ref="D51:D81" si="8">(C51-B51)/B51</f>
        <v>-1</v>
      </c>
      <c r="E51" s="5">
        <v>1</v>
      </c>
      <c r="F51" s="5">
        <v>0</v>
      </c>
      <c r="G51" s="44">
        <f t="shared" ref="G51:G81" si="9">(F51-E51)/E51</f>
        <v>-1</v>
      </c>
      <c r="H51" s="5">
        <v>2128</v>
      </c>
      <c r="I51" s="5">
        <v>0</v>
      </c>
      <c r="J51" s="44">
        <f t="shared" si="7"/>
        <v>-1</v>
      </c>
      <c r="K51" s="5">
        <v>0</v>
      </c>
      <c r="L51" s="5">
        <v>0</v>
      </c>
      <c r="M51" s="44">
        <v>0</v>
      </c>
      <c r="N51" s="16">
        <f t="shared" si="0"/>
        <v>-9</v>
      </c>
      <c r="O51" s="16">
        <f t="shared" si="1"/>
        <v>-1</v>
      </c>
      <c r="P51" s="16">
        <f t="shared" si="2"/>
        <v>0</v>
      </c>
    </row>
    <row r="52" spans="1:16" thickBot="1" x14ac:dyDescent="0.25">
      <c r="A52" s="32" t="s">
        <v>186</v>
      </c>
      <c r="B52" s="5">
        <v>0</v>
      </c>
      <c r="C52" s="5">
        <v>0</v>
      </c>
      <c r="D52" s="44" t="e">
        <f t="shared" si="8"/>
        <v>#DIV/0!</v>
      </c>
      <c r="E52" s="5">
        <v>0</v>
      </c>
      <c r="F52" s="5">
        <v>0</v>
      </c>
      <c r="G52" s="44" t="e">
        <f t="shared" si="9"/>
        <v>#DIV/0!</v>
      </c>
      <c r="H52" s="5">
        <v>0</v>
      </c>
      <c r="I52" s="5">
        <v>0</v>
      </c>
      <c r="J52" s="44" t="e">
        <f t="shared" si="7"/>
        <v>#DIV/0!</v>
      </c>
      <c r="K52" s="5">
        <v>0</v>
      </c>
      <c r="L52" s="5">
        <v>0</v>
      </c>
      <c r="M52" s="44">
        <v>0</v>
      </c>
      <c r="N52" s="16">
        <f t="shared" si="0"/>
        <v>0</v>
      </c>
      <c r="O52" s="16">
        <f t="shared" si="1"/>
        <v>0</v>
      </c>
      <c r="P52" s="16">
        <f t="shared" si="2"/>
        <v>0</v>
      </c>
    </row>
    <row r="53" spans="1:16" ht="13.5" thickBot="1" x14ac:dyDescent="0.25">
      <c r="A53" s="32" t="s">
        <v>171</v>
      </c>
      <c r="B53" s="5">
        <v>1</v>
      </c>
      <c r="C53" s="5">
        <v>0</v>
      </c>
      <c r="D53" s="44">
        <v>1</v>
      </c>
      <c r="E53" s="5">
        <v>0</v>
      </c>
      <c r="F53" s="5">
        <v>0</v>
      </c>
      <c r="G53" s="44">
        <v>0</v>
      </c>
      <c r="H53" s="5">
        <v>1105</v>
      </c>
      <c r="I53" s="5">
        <v>0</v>
      </c>
      <c r="J53" s="44">
        <v>1</v>
      </c>
      <c r="K53" s="5">
        <v>0</v>
      </c>
      <c r="L53" s="5">
        <v>0</v>
      </c>
      <c r="M53" s="44">
        <v>0</v>
      </c>
      <c r="N53" s="16">
        <f t="shared" si="0"/>
        <v>-1</v>
      </c>
      <c r="O53" s="16">
        <f t="shared" si="1"/>
        <v>0</v>
      </c>
      <c r="P53" s="16">
        <f t="shared" si="2"/>
        <v>0</v>
      </c>
    </row>
    <row r="54" spans="1:16" ht="13.5" thickBot="1" x14ac:dyDescent="0.25">
      <c r="A54" s="32" t="s">
        <v>172</v>
      </c>
      <c r="B54" s="5">
        <v>5</v>
      </c>
      <c r="C54" s="5">
        <v>0</v>
      </c>
      <c r="D54" s="44">
        <v>1</v>
      </c>
      <c r="E54" s="5">
        <v>1</v>
      </c>
      <c r="F54" s="5">
        <v>0</v>
      </c>
      <c r="G54" s="44">
        <v>1</v>
      </c>
      <c r="H54" s="5">
        <v>203</v>
      </c>
      <c r="I54" s="5">
        <v>0</v>
      </c>
      <c r="J54" s="44">
        <v>1</v>
      </c>
      <c r="K54" s="5">
        <v>0</v>
      </c>
      <c r="L54" s="5">
        <v>0</v>
      </c>
      <c r="M54" s="44">
        <v>0</v>
      </c>
      <c r="N54" s="16">
        <f t="shared" si="0"/>
        <v>-5</v>
      </c>
      <c r="O54" s="16">
        <f t="shared" si="1"/>
        <v>-1</v>
      </c>
      <c r="P54" s="16">
        <f t="shared" si="2"/>
        <v>0</v>
      </c>
    </row>
    <row r="55" spans="1:16" ht="13.5" thickBot="1" x14ac:dyDescent="0.25">
      <c r="A55" s="32" t="s">
        <v>173</v>
      </c>
      <c r="B55" s="5">
        <v>1</v>
      </c>
      <c r="C55" s="5">
        <v>0</v>
      </c>
      <c r="D55" s="44">
        <v>1</v>
      </c>
      <c r="E55" s="5">
        <v>0</v>
      </c>
      <c r="F55" s="5">
        <v>0</v>
      </c>
      <c r="G55" s="44">
        <v>0</v>
      </c>
      <c r="H55" s="5">
        <v>11012</v>
      </c>
      <c r="I55" s="5">
        <v>0</v>
      </c>
      <c r="J55" s="44">
        <v>1</v>
      </c>
      <c r="K55" s="5">
        <v>0</v>
      </c>
      <c r="L55" s="5">
        <v>0</v>
      </c>
      <c r="M55" s="44">
        <v>0</v>
      </c>
      <c r="N55" s="16">
        <f t="shared" si="0"/>
        <v>-1</v>
      </c>
      <c r="O55" s="16">
        <f t="shared" si="1"/>
        <v>0</v>
      </c>
      <c r="P55" s="16">
        <f t="shared" si="2"/>
        <v>0</v>
      </c>
    </row>
    <row r="56" spans="1:16" ht="13.5" thickBot="1" x14ac:dyDescent="0.25">
      <c r="A56" s="32" t="s">
        <v>174</v>
      </c>
      <c r="B56" s="5">
        <v>0</v>
      </c>
      <c r="C56" s="5">
        <v>0</v>
      </c>
      <c r="D56" s="44">
        <v>0</v>
      </c>
      <c r="E56" s="5">
        <v>0</v>
      </c>
      <c r="F56" s="5">
        <v>0</v>
      </c>
      <c r="G56" s="44">
        <v>0</v>
      </c>
      <c r="H56" s="5">
        <v>0</v>
      </c>
      <c r="I56" s="5">
        <v>0</v>
      </c>
      <c r="J56" s="44">
        <v>0</v>
      </c>
      <c r="K56" s="5">
        <v>0</v>
      </c>
      <c r="L56" s="5">
        <v>0</v>
      </c>
      <c r="M56" s="44">
        <v>0</v>
      </c>
      <c r="N56" s="16">
        <f t="shared" si="0"/>
        <v>0</v>
      </c>
      <c r="O56" s="16">
        <f t="shared" si="1"/>
        <v>0</v>
      </c>
      <c r="P56" s="16">
        <f t="shared" si="2"/>
        <v>0</v>
      </c>
    </row>
    <row r="57" spans="1:16" ht="13.5" thickBot="1" x14ac:dyDescent="0.25">
      <c r="A57" s="32" t="s">
        <v>175</v>
      </c>
      <c r="B57" s="5">
        <v>2</v>
      </c>
      <c r="C57" s="5">
        <v>0</v>
      </c>
      <c r="D57" s="44">
        <v>1</v>
      </c>
      <c r="E57" s="5">
        <v>0</v>
      </c>
      <c r="F57" s="5">
        <v>0</v>
      </c>
      <c r="G57" s="44">
        <v>0</v>
      </c>
      <c r="H57" s="5">
        <v>0</v>
      </c>
      <c r="I57" s="5">
        <v>0</v>
      </c>
      <c r="J57" s="44">
        <v>0</v>
      </c>
      <c r="K57" s="5">
        <v>0</v>
      </c>
      <c r="L57" s="5">
        <v>0</v>
      </c>
      <c r="M57" s="44">
        <v>0</v>
      </c>
      <c r="N57" s="16">
        <f t="shared" si="0"/>
        <v>-2</v>
      </c>
      <c r="O57" s="16">
        <f t="shared" si="1"/>
        <v>0</v>
      </c>
      <c r="P57" s="16">
        <f t="shared" si="2"/>
        <v>0</v>
      </c>
    </row>
    <row r="58" spans="1:16" ht="13.5" thickBot="1" x14ac:dyDescent="0.25">
      <c r="A58" s="32" t="s">
        <v>176</v>
      </c>
      <c r="B58" s="5">
        <v>3</v>
      </c>
      <c r="C58" s="5">
        <v>0</v>
      </c>
      <c r="D58" s="44">
        <f t="shared" si="8"/>
        <v>-1</v>
      </c>
      <c r="E58" s="5">
        <v>0</v>
      </c>
      <c r="F58" s="5">
        <v>0</v>
      </c>
      <c r="G58" s="44">
        <v>0</v>
      </c>
      <c r="H58" s="5">
        <v>371</v>
      </c>
      <c r="I58" s="5">
        <v>0</v>
      </c>
      <c r="J58" s="44">
        <v>1</v>
      </c>
      <c r="K58" s="5">
        <v>0</v>
      </c>
      <c r="L58" s="5">
        <v>0</v>
      </c>
      <c r="M58" s="44">
        <v>0</v>
      </c>
      <c r="N58" s="16">
        <f t="shared" si="0"/>
        <v>-3</v>
      </c>
      <c r="O58" s="16">
        <f t="shared" si="1"/>
        <v>0</v>
      </c>
      <c r="P58" s="16">
        <f t="shared" si="2"/>
        <v>0</v>
      </c>
    </row>
    <row r="59" spans="1:16" ht="13.5" thickBot="1" x14ac:dyDescent="0.25">
      <c r="A59" s="32" t="s">
        <v>177</v>
      </c>
      <c r="B59" s="5">
        <v>0</v>
      </c>
      <c r="C59" s="5">
        <v>0</v>
      </c>
      <c r="D59" s="44">
        <v>0</v>
      </c>
      <c r="E59" s="5">
        <v>0</v>
      </c>
      <c r="F59" s="5">
        <v>0</v>
      </c>
      <c r="G59" s="44">
        <v>0</v>
      </c>
      <c r="H59" s="5">
        <v>0</v>
      </c>
      <c r="I59" s="5">
        <v>0</v>
      </c>
      <c r="J59" s="44">
        <v>0</v>
      </c>
      <c r="K59" s="5">
        <v>0</v>
      </c>
      <c r="L59" s="5">
        <v>0</v>
      </c>
      <c r="M59" s="44">
        <v>0</v>
      </c>
      <c r="N59" s="16">
        <f t="shared" si="0"/>
        <v>0</v>
      </c>
      <c r="O59" s="16">
        <f t="shared" si="1"/>
        <v>0</v>
      </c>
      <c r="P59" s="16">
        <f t="shared" si="2"/>
        <v>0</v>
      </c>
    </row>
    <row r="60" spans="1:16" ht="13.5" thickBot="1" x14ac:dyDescent="0.25">
      <c r="A60" s="32" t="s">
        <v>178</v>
      </c>
      <c r="B60" s="5">
        <v>0</v>
      </c>
      <c r="C60" s="5">
        <v>0</v>
      </c>
      <c r="D60" s="44">
        <v>0</v>
      </c>
      <c r="E60" s="5">
        <v>0</v>
      </c>
      <c r="F60" s="5">
        <v>0</v>
      </c>
      <c r="G60" s="44">
        <v>0</v>
      </c>
      <c r="H60" s="5">
        <v>0</v>
      </c>
      <c r="I60" s="5">
        <v>0</v>
      </c>
      <c r="J60" s="44">
        <v>0</v>
      </c>
      <c r="K60" s="5">
        <v>0</v>
      </c>
      <c r="L60" s="5">
        <v>0</v>
      </c>
      <c r="M60" s="44">
        <v>0</v>
      </c>
      <c r="N60" s="16">
        <f t="shared" si="0"/>
        <v>0</v>
      </c>
      <c r="O60" s="16">
        <f t="shared" si="1"/>
        <v>0</v>
      </c>
      <c r="P60" s="16">
        <f t="shared" si="2"/>
        <v>0</v>
      </c>
    </row>
    <row r="61" spans="1:16" ht="13.5" thickBot="1" x14ac:dyDescent="0.25">
      <c r="A61" s="32" t="s">
        <v>179</v>
      </c>
      <c r="B61" s="5">
        <v>1</v>
      </c>
      <c r="C61" s="5">
        <v>0</v>
      </c>
      <c r="D61" s="44">
        <v>1</v>
      </c>
      <c r="E61" s="5">
        <v>0</v>
      </c>
      <c r="F61" s="5">
        <v>0</v>
      </c>
      <c r="G61" s="44">
        <v>0</v>
      </c>
      <c r="H61" s="5">
        <v>49665</v>
      </c>
      <c r="I61" s="5">
        <v>0</v>
      </c>
      <c r="J61" s="44">
        <v>1</v>
      </c>
      <c r="K61" s="5">
        <v>0</v>
      </c>
      <c r="L61" s="5">
        <v>0</v>
      </c>
      <c r="M61" s="44">
        <v>0</v>
      </c>
      <c r="N61" s="16">
        <f t="shared" si="0"/>
        <v>-1</v>
      </c>
      <c r="O61" s="16">
        <f t="shared" si="1"/>
        <v>0</v>
      </c>
      <c r="P61" s="16">
        <f t="shared" si="2"/>
        <v>0</v>
      </c>
    </row>
    <row r="62" spans="1:16" ht="13.5" thickBot="1" x14ac:dyDescent="0.25">
      <c r="A62" s="32" t="s">
        <v>180</v>
      </c>
      <c r="B62" s="5">
        <v>0</v>
      </c>
      <c r="C62" s="5">
        <v>0</v>
      </c>
      <c r="D62" s="44">
        <v>0</v>
      </c>
      <c r="E62" s="5">
        <v>0</v>
      </c>
      <c r="F62" s="5">
        <v>0</v>
      </c>
      <c r="G62" s="44">
        <v>0</v>
      </c>
      <c r="H62" s="5">
        <v>0</v>
      </c>
      <c r="I62" s="5">
        <v>0</v>
      </c>
      <c r="J62" s="44">
        <v>0</v>
      </c>
      <c r="K62" s="5">
        <v>0</v>
      </c>
      <c r="L62" s="5">
        <v>0</v>
      </c>
      <c r="M62" s="44">
        <v>0</v>
      </c>
      <c r="N62" s="16">
        <f t="shared" si="0"/>
        <v>0</v>
      </c>
      <c r="O62" s="16">
        <f t="shared" si="1"/>
        <v>0</v>
      </c>
      <c r="P62" s="16">
        <f t="shared" si="2"/>
        <v>0</v>
      </c>
    </row>
    <row r="63" spans="1:16" ht="13.5" thickBot="1" x14ac:dyDescent="0.25">
      <c r="A63" s="32" t="s">
        <v>181</v>
      </c>
      <c r="B63" s="5">
        <v>0</v>
      </c>
      <c r="C63" s="5">
        <v>0</v>
      </c>
      <c r="D63" s="44" t="e">
        <f t="shared" si="8"/>
        <v>#DIV/0!</v>
      </c>
      <c r="E63" s="5">
        <v>0</v>
      </c>
      <c r="F63" s="5">
        <v>0</v>
      </c>
      <c r="G63" s="44">
        <v>0</v>
      </c>
      <c r="H63" s="5">
        <v>0</v>
      </c>
      <c r="I63" s="5">
        <v>0</v>
      </c>
      <c r="J63" s="44">
        <v>0</v>
      </c>
      <c r="K63" s="5">
        <v>0</v>
      </c>
      <c r="L63" s="5">
        <v>0</v>
      </c>
      <c r="M63" s="44">
        <v>0</v>
      </c>
      <c r="N63" s="16">
        <f t="shared" si="0"/>
        <v>0</v>
      </c>
      <c r="O63" s="16">
        <f t="shared" si="1"/>
        <v>0</v>
      </c>
      <c r="P63" s="16">
        <f t="shared" si="2"/>
        <v>0</v>
      </c>
    </row>
    <row r="64" spans="1:16" ht="13.5" thickBot="1" x14ac:dyDescent="0.25">
      <c r="A64" s="32" t="s">
        <v>182</v>
      </c>
      <c r="B64" s="5">
        <v>1</v>
      </c>
      <c r="C64" s="5">
        <v>0</v>
      </c>
      <c r="D64" s="44">
        <f t="shared" si="8"/>
        <v>-1</v>
      </c>
      <c r="E64" s="5">
        <v>0</v>
      </c>
      <c r="F64" s="5">
        <v>0</v>
      </c>
      <c r="G64" s="44">
        <v>0</v>
      </c>
      <c r="H64" s="5">
        <v>0</v>
      </c>
      <c r="I64" s="5">
        <v>0</v>
      </c>
      <c r="J64" s="44">
        <v>0</v>
      </c>
      <c r="K64" s="5">
        <v>0</v>
      </c>
      <c r="L64" s="5">
        <v>0</v>
      </c>
      <c r="M64" s="44">
        <v>0</v>
      </c>
      <c r="N64" s="16">
        <f t="shared" si="0"/>
        <v>-1</v>
      </c>
      <c r="O64" s="16">
        <f t="shared" si="1"/>
        <v>0</v>
      </c>
      <c r="P64" s="16">
        <f t="shared" si="2"/>
        <v>0</v>
      </c>
    </row>
    <row r="65" spans="1:27" ht="13.5" thickBot="1" x14ac:dyDescent="0.25">
      <c r="A65" s="32" t="s">
        <v>183</v>
      </c>
      <c r="B65" s="5">
        <v>2</v>
      </c>
      <c r="C65" s="5">
        <v>0</v>
      </c>
      <c r="D65" s="44">
        <f t="shared" si="8"/>
        <v>-1</v>
      </c>
      <c r="E65" s="5">
        <v>0</v>
      </c>
      <c r="F65" s="5">
        <v>0</v>
      </c>
      <c r="G65" s="44">
        <v>0</v>
      </c>
      <c r="H65" s="5">
        <v>0</v>
      </c>
      <c r="I65" s="5">
        <v>0</v>
      </c>
      <c r="J65" s="44">
        <v>0</v>
      </c>
      <c r="K65" s="5">
        <v>0</v>
      </c>
      <c r="L65" s="5">
        <v>0</v>
      </c>
      <c r="M65" s="44">
        <v>0</v>
      </c>
      <c r="N65" s="16">
        <f t="shared" si="0"/>
        <v>-2</v>
      </c>
      <c r="O65" s="16">
        <f t="shared" si="1"/>
        <v>0</v>
      </c>
      <c r="P65" s="16">
        <f t="shared" si="2"/>
        <v>0</v>
      </c>
    </row>
    <row r="66" spans="1:27" ht="13.5" thickBot="1" x14ac:dyDescent="0.25">
      <c r="A66" s="32" t="s">
        <v>184</v>
      </c>
      <c r="B66" s="5">
        <v>2</v>
      </c>
      <c r="C66" s="5">
        <v>0</v>
      </c>
      <c r="D66" s="44">
        <f t="shared" si="8"/>
        <v>-1</v>
      </c>
      <c r="E66" s="5">
        <v>2</v>
      </c>
      <c r="F66" s="5">
        <v>0</v>
      </c>
      <c r="G66" s="44">
        <f t="shared" si="9"/>
        <v>-1</v>
      </c>
      <c r="H66" s="5">
        <v>3</v>
      </c>
      <c r="I66" s="5">
        <v>0</v>
      </c>
      <c r="J66" s="44">
        <f t="shared" si="7"/>
        <v>-1</v>
      </c>
      <c r="K66" s="5">
        <v>1</v>
      </c>
      <c r="L66" s="5">
        <v>0</v>
      </c>
      <c r="M66" s="44">
        <v>0</v>
      </c>
      <c r="N66" s="16">
        <f t="shared" si="0"/>
        <v>-2</v>
      </c>
      <c r="O66" s="16">
        <f t="shared" si="1"/>
        <v>-2</v>
      </c>
      <c r="P66" s="16">
        <f t="shared" si="2"/>
        <v>-1</v>
      </c>
    </row>
    <row r="67" spans="1:27" ht="13.5" thickBot="1" x14ac:dyDescent="0.25">
      <c r="A67" s="32" t="s">
        <v>185</v>
      </c>
      <c r="B67" s="5">
        <v>9</v>
      </c>
      <c r="C67" s="5">
        <v>0</v>
      </c>
      <c r="D67" s="44">
        <v>1</v>
      </c>
      <c r="E67" s="5">
        <v>4</v>
      </c>
      <c r="F67" s="5">
        <v>0</v>
      </c>
      <c r="G67" s="44">
        <v>1</v>
      </c>
      <c r="H67" s="5">
        <v>13467</v>
      </c>
      <c r="I67" s="5">
        <v>0</v>
      </c>
      <c r="J67" s="44">
        <v>1</v>
      </c>
      <c r="K67" s="5">
        <v>1</v>
      </c>
      <c r="L67" s="5">
        <v>0</v>
      </c>
      <c r="M67" s="44">
        <v>1</v>
      </c>
      <c r="N67" s="16">
        <f t="shared" si="0"/>
        <v>-9</v>
      </c>
      <c r="O67" s="16">
        <f t="shared" si="1"/>
        <v>-4</v>
      </c>
      <c r="P67" s="16">
        <f t="shared" si="2"/>
        <v>-1</v>
      </c>
    </row>
    <row r="68" spans="1:27" thickBot="1" x14ac:dyDescent="0.25">
      <c r="A68" s="29" t="s">
        <v>189</v>
      </c>
      <c r="B68" s="19">
        <f>SUM(B69:B72)</f>
        <v>0</v>
      </c>
      <c r="C68" s="19">
        <f>SUM(C69:C72)</f>
        <v>0</v>
      </c>
      <c r="D68" s="44">
        <v>0</v>
      </c>
      <c r="E68" s="19">
        <f>SUM(E69:E72)</f>
        <v>0</v>
      </c>
      <c r="F68" s="19">
        <f>SUM(F69:F72)</f>
        <v>0</v>
      </c>
      <c r="G68" s="44">
        <v>0</v>
      </c>
      <c r="H68" s="19">
        <f>SUM(H69:H72)</f>
        <v>0</v>
      </c>
      <c r="I68" s="19">
        <f>SUM(I69:I72)</f>
        <v>0</v>
      </c>
      <c r="J68" s="44">
        <v>0</v>
      </c>
      <c r="K68" s="19">
        <f>SUM(K69:K72)</f>
        <v>0</v>
      </c>
      <c r="L68" s="19">
        <f>SUM(L69:L72)</f>
        <v>0</v>
      </c>
      <c r="M68" s="44">
        <v>0</v>
      </c>
      <c r="N68" s="19">
        <f t="shared" si="0"/>
        <v>0</v>
      </c>
      <c r="O68" s="19">
        <f t="shared" si="1"/>
        <v>0</v>
      </c>
      <c r="P68" s="19">
        <f t="shared" si="2"/>
        <v>0</v>
      </c>
    </row>
    <row r="69" spans="1:27" ht="13.5" thickBot="1" x14ac:dyDescent="0.25">
      <c r="A69" s="32" t="s">
        <v>190</v>
      </c>
      <c r="B69" s="5">
        <v>0</v>
      </c>
      <c r="C69" s="5">
        <v>0</v>
      </c>
      <c r="D69" s="44">
        <v>0</v>
      </c>
      <c r="E69" s="5">
        <v>0</v>
      </c>
      <c r="F69" s="5">
        <v>0</v>
      </c>
      <c r="G69" s="44">
        <v>0</v>
      </c>
      <c r="H69" s="5">
        <v>0</v>
      </c>
      <c r="I69" s="5">
        <v>0</v>
      </c>
      <c r="J69" s="44">
        <v>0</v>
      </c>
      <c r="K69" s="5">
        <v>0</v>
      </c>
      <c r="L69" s="5">
        <v>0</v>
      </c>
      <c r="M69" s="44">
        <v>0</v>
      </c>
      <c r="N69" s="16">
        <f t="shared" ref="N69:N94" si="10">C69-B69</f>
        <v>0</v>
      </c>
      <c r="O69" s="16">
        <f t="shared" ref="O69:O94" si="11">F69-E69</f>
        <v>0</v>
      </c>
      <c r="P69" s="16">
        <f t="shared" ref="P69:P94" si="12">L69-K69</f>
        <v>0</v>
      </c>
    </row>
    <row r="70" spans="1:27" ht="13.5" thickBot="1" x14ac:dyDescent="0.25">
      <c r="A70" s="32" t="s">
        <v>191</v>
      </c>
      <c r="B70" s="5">
        <v>0</v>
      </c>
      <c r="C70" s="5">
        <v>0</v>
      </c>
      <c r="D70" s="44">
        <v>0</v>
      </c>
      <c r="E70" s="5">
        <v>0</v>
      </c>
      <c r="F70" s="5">
        <v>0</v>
      </c>
      <c r="G70" s="44">
        <v>0</v>
      </c>
      <c r="H70" s="5">
        <v>0</v>
      </c>
      <c r="I70" s="5">
        <v>0</v>
      </c>
      <c r="J70" s="44">
        <v>0</v>
      </c>
      <c r="K70" s="5">
        <v>0</v>
      </c>
      <c r="L70" s="5">
        <v>0</v>
      </c>
      <c r="M70" s="44">
        <v>0</v>
      </c>
      <c r="N70" s="16">
        <f t="shared" si="10"/>
        <v>0</v>
      </c>
      <c r="O70" s="16">
        <f t="shared" si="11"/>
        <v>0</v>
      </c>
      <c r="P70" s="16">
        <f t="shared" si="12"/>
        <v>0</v>
      </c>
    </row>
    <row r="71" spans="1:27" ht="13.5" thickBot="1" x14ac:dyDescent="0.25">
      <c r="A71" s="32" t="s">
        <v>192</v>
      </c>
      <c r="B71" s="5">
        <v>0</v>
      </c>
      <c r="C71" s="5">
        <v>0</v>
      </c>
      <c r="D71" s="44">
        <v>0</v>
      </c>
      <c r="E71" s="5">
        <v>0</v>
      </c>
      <c r="F71" s="5">
        <v>0</v>
      </c>
      <c r="G71" s="44">
        <v>0</v>
      </c>
      <c r="H71" s="5">
        <v>0</v>
      </c>
      <c r="I71" s="5">
        <v>0</v>
      </c>
      <c r="J71" s="44">
        <v>0</v>
      </c>
      <c r="K71" s="5">
        <v>0</v>
      </c>
      <c r="L71" s="5">
        <v>0</v>
      </c>
      <c r="M71" s="44">
        <v>0</v>
      </c>
      <c r="N71" s="16">
        <f t="shared" si="10"/>
        <v>0</v>
      </c>
      <c r="O71" s="16">
        <f t="shared" si="11"/>
        <v>0</v>
      </c>
      <c r="P71" s="16">
        <f t="shared" si="12"/>
        <v>0</v>
      </c>
    </row>
    <row r="72" spans="1:27" ht="13.5" thickBot="1" x14ac:dyDescent="0.25">
      <c r="A72" s="32" t="s">
        <v>193</v>
      </c>
      <c r="B72" s="5">
        <v>0</v>
      </c>
      <c r="C72" s="5">
        <v>0</v>
      </c>
      <c r="D72" s="44">
        <v>0</v>
      </c>
      <c r="E72" s="5">
        <v>0</v>
      </c>
      <c r="F72" s="5">
        <v>0</v>
      </c>
      <c r="G72" s="44">
        <v>0</v>
      </c>
      <c r="H72" s="5">
        <v>0</v>
      </c>
      <c r="I72" s="5">
        <v>0</v>
      </c>
      <c r="J72" s="44">
        <v>0</v>
      </c>
      <c r="K72" s="5">
        <v>0</v>
      </c>
      <c r="L72" s="5">
        <v>0</v>
      </c>
      <c r="M72" s="44">
        <v>0</v>
      </c>
      <c r="N72" s="16">
        <f t="shared" si="10"/>
        <v>0</v>
      </c>
      <c r="O72" s="16">
        <f t="shared" si="11"/>
        <v>0</v>
      </c>
      <c r="P72" s="16">
        <f t="shared" si="12"/>
        <v>0</v>
      </c>
    </row>
    <row r="73" spans="1:27" ht="13.5" thickBot="1" x14ac:dyDescent="0.25">
      <c r="A73" s="29" t="s">
        <v>194</v>
      </c>
      <c r="B73" s="19">
        <f>SUM(B74:B79)</f>
        <v>9</v>
      </c>
      <c r="C73" s="19">
        <f>SUM(C74:C79)</f>
        <v>0</v>
      </c>
      <c r="D73" s="44">
        <f t="shared" si="8"/>
        <v>-1</v>
      </c>
      <c r="E73" s="19">
        <f>SUM(E74:E79)</f>
        <v>9</v>
      </c>
      <c r="F73" s="19">
        <f>SUM(F74:F79)</f>
        <v>0</v>
      </c>
      <c r="G73" s="44">
        <f t="shared" si="9"/>
        <v>-1</v>
      </c>
      <c r="H73" s="19">
        <f>SUM(H74:H79)</f>
        <v>55279</v>
      </c>
      <c r="I73" s="19">
        <f>SUM(I74:I79)</f>
        <v>0</v>
      </c>
      <c r="J73" s="44">
        <f t="shared" si="7"/>
        <v>-1</v>
      </c>
      <c r="K73" s="19">
        <f>SUM(K74:K79)</f>
        <v>381</v>
      </c>
      <c r="L73" s="19">
        <f>SUM(L74:L79)</f>
        <v>0</v>
      </c>
      <c r="M73" s="44">
        <f t="shared" ref="M73:M81" si="13">(L73-K73)/K73</f>
        <v>-1</v>
      </c>
      <c r="N73" s="19">
        <f t="shared" si="10"/>
        <v>-9</v>
      </c>
      <c r="O73" s="19">
        <f t="shared" si="11"/>
        <v>-9</v>
      </c>
      <c r="P73" s="19">
        <f t="shared" si="12"/>
        <v>-381</v>
      </c>
      <c r="AA73" s="14" t="s">
        <v>227</v>
      </c>
    </row>
    <row r="74" spans="1:27" thickBot="1" x14ac:dyDescent="0.25">
      <c r="A74" s="32" t="s">
        <v>200</v>
      </c>
      <c r="B74" s="5">
        <v>9</v>
      </c>
      <c r="C74" s="5">
        <v>0</v>
      </c>
      <c r="D74" s="44">
        <f t="shared" si="8"/>
        <v>-1</v>
      </c>
      <c r="E74" s="5">
        <v>9</v>
      </c>
      <c r="F74" s="5">
        <v>0</v>
      </c>
      <c r="G74" s="44">
        <f t="shared" si="9"/>
        <v>-1</v>
      </c>
      <c r="H74" s="5">
        <v>55279</v>
      </c>
      <c r="I74" s="5">
        <v>0</v>
      </c>
      <c r="J74" s="44">
        <f t="shared" si="7"/>
        <v>-1</v>
      </c>
      <c r="K74" s="5">
        <v>381</v>
      </c>
      <c r="L74" s="5">
        <v>0</v>
      </c>
      <c r="M74" s="44">
        <f t="shared" si="13"/>
        <v>-1</v>
      </c>
      <c r="N74" s="16">
        <f t="shared" si="10"/>
        <v>-9</v>
      </c>
      <c r="O74" s="16">
        <f t="shared" si="11"/>
        <v>-9</v>
      </c>
      <c r="P74" s="16">
        <f t="shared" si="12"/>
        <v>-381</v>
      </c>
    </row>
    <row r="75" spans="1:27" ht="13.5" thickBot="1" x14ac:dyDescent="0.25">
      <c r="A75" s="32" t="s">
        <v>195</v>
      </c>
      <c r="B75" s="5">
        <v>0</v>
      </c>
      <c r="C75" s="5">
        <v>0</v>
      </c>
      <c r="D75" s="44">
        <v>0</v>
      </c>
      <c r="E75" s="5">
        <v>0</v>
      </c>
      <c r="F75" s="5">
        <v>0</v>
      </c>
      <c r="G75" s="44">
        <v>0</v>
      </c>
      <c r="H75" s="5">
        <v>0</v>
      </c>
      <c r="I75" s="5">
        <v>0</v>
      </c>
      <c r="J75" s="44">
        <v>0</v>
      </c>
      <c r="K75" s="5">
        <v>0</v>
      </c>
      <c r="L75" s="5">
        <v>0</v>
      </c>
      <c r="M75" s="44">
        <v>0</v>
      </c>
      <c r="N75" s="16">
        <f t="shared" si="10"/>
        <v>0</v>
      </c>
      <c r="O75" s="16">
        <f t="shared" si="11"/>
        <v>0</v>
      </c>
      <c r="P75" s="16">
        <f t="shared" si="12"/>
        <v>0</v>
      </c>
    </row>
    <row r="76" spans="1:27" ht="13.5" thickBot="1" x14ac:dyDescent="0.25">
      <c r="A76" s="32" t="s">
        <v>196</v>
      </c>
      <c r="B76" s="5">
        <v>0</v>
      </c>
      <c r="C76" s="5">
        <v>0</v>
      </c>
      <c r="D76" s="44">
        <v>-1</v>
      </c>
      <c r="E76" s="5">
        <v>0</v>
      </c>
      <c r="F76" s="5">
        <v>0</v>
      </c>
      <c r="G76" s="44">
        <v>0</v>
      </c>
      <c r="H76" s="5">
        <v>0</v>
      </c>
      <c r="I76" s="5">
        <v>0</v>
      </c>
      <c r="J76" s="44">
        <v>0</v>
      </c>
      <c r="K76" s="5">
        <v>0</v>
      </c>
      <c r="L76" s="5">
        <v>0</v>
      </c>
      <c r="M76" s="44">
        <v>-1</v>
      </c>
      <c r="N76" s="16">
        <f t="shared" si="10"/>
        <v>0</v>
      </c>
      <c r="O76" s="16">
        <f t="shared" si="11"/>
        <v>0</v>
      </c>
      <c r="P76" s="16">
        <f t="shared" si="12"/>
        <v>0</v>
      </c>
    </row>
    <row r="77" spans="1:27" ht="13.5" thickBot="1" x14ac:dyDescent="0.25">
      <c r="A77" s="32" t="s">
        <v>197</v>
      </c>
      <c r="B77" s="5">
        <v>0</v>
      </c>
      <c r="C77" s="5">
        <v>0</v>
      </c>
      <c r="D77" s="44">
        <v>0</v>
      </c>
      <c r="E77" s="5">
        <v>0</v>
      </c>
      <c r="F77" s="5">
        <v>0</v>
      </c>
      <c r="G77" s="44">
        <v>0</v>
      </c>
      <c r="H77" s="5">
        <v>0</v>
      </c>
      <c r="I77" s="5">
        <v>0</v>
      </c>
      <c r="J77" s="44">
        <v>0</v>
      </c>
      <c r="K77" s="5">
        <v>0</v>
      </c>
      <c r="L77" s="5">
        <v>0</v>
      </c>
      <c r="M77" s="44">
        <v>0</v>
      </c>
      <c r="N77" s="16">
        <f t="shared" si="10"/>
        <v>0</v>
      </c>
      <c r="O77" s="16">
        <f t="shared" si="11"/>
        <v>0</v>
      </c>
      <c r="P77" s="16">
        <f t="shared" si="12"/>
        <v>0</v>
      </c>
    </row>
    <row r="78" spans="1:27" ht="13.5" thickBot="1" x14ac:dyDescent="0.25">
      <c r="A78" s="32" t="s">
        <v>198</v>
      </c>
      <c r="B78" s="5">
        <v>0</v>
      </c>
      <c r="C78" s="5">
        <v>0</v>
      </c>
      <c r="D78" s="44">
        <v>0</v>
      </c>
      <c r="E78" s="5">
        <v>0</v>
      </c>
      <c r="F78" s="5">
        <v>0</v>
      </c>
      <c r="G78" s="44">
        <v>0</v>
      </c>
      <c r="H78" s="5">
        <v>0</v>
      </c>
      <c r="I78" s="5">
        <v>0</v>
      </c>
      <c r="J78" s="44">
        <v>0</v>
      </c>
      <c r="K78" s="5">
        <v>0</v>
      </c>
      <c r="L78" s="5">
        <v>0</v>
      </c>
      <c r="M78" s="44">
        <v>0</v>
      </c>
      <c r="N78" s="16">
        <f t="shared" si="10"/>
        <v>0</v>
      </c>
      <c r="O78" s="16">
        <f t="shared" si="11"/>
        <v>0</v>
      </c>
      <c r="P78" s="16">
        <f t="shared" si="12"/>
        <v>0</v>
      </c>
    </row>
    <row r="79" spans="1:27" ht="13.5" thickBot="1" x14ac:dyDescent="0.25">
      <c r="A79" s="32" t="s">
        <v>199</v>
      </c>
      <c r="B79" s="5">
        <v>0</v>
      </c>
      <c r="C79" s="5">
        <v>0</v>
      </c>
      <c r="D79" s="44">
        <v>0</v>
      </c>
      <c r="E79" s="5">
        <v>0</v>
      </c>
      <c r="F79" s="5">
        <v>0</v>
      </c>
      <c r="G79" s="44">
        <v>0</v>
      </c>
      <c r="H79" s="5">
        <v>0</v>
      </c>
      <c r="I79" s="5">
        <v>0</v>
      </c>
      <c r="J79" s="44">
        <v>0</v>
      </c>
      <c r="K79" s="5">
        <v>0</v>
      </c>
      <c r="L79" s="5">
        <v>0</v>
      </c>
      <c r="M79" s="44">
        <v>0</v>
      </c>
      <c r="N79" s="16">
        <f t="shared" si="10"/>
        <v>0</v>
      </c>
      <c r="O79" s="16">
        <f t="shared" si="11"/>
        <v>0</v>
      </c>
      <c r="P79" s="16">
        <f t="shared" si="12"/>
        <v>0</v>
      </c>
    </row>
    <row r="80" spans="1:27" ht="13.5" thickBot="1" x14ac:dyDescent="0.25">
      <c r="A80" s="29" t="s">
        <v>201</v>
      </c>
      <c r="B80" s="19">
        <f>SUM(B81:B82)</f>
        <v>9</v>
      </c>
      <c r="C80" s="19">
        <f>SUM(C81:C82)</f>
        <v>0</v>
      </c>
      <c r="D80" s="44">
        <f t="shared" si="8"/>
        <v>-1</v>
      </c>
      <c r="E80" s="19">
        <f>SUM(E81:E82)</f>
        <v>1</v>
      </c>
      <c r="F80" s="19">
        <f>SUM(F81:F82)</f>
        <v>0</v>
      </c>
      <c r="G80" s="44">
        <f t="shared" si="9"/>
        <v>-1</v>
      </c>
      <c r="H80" s="19">
        <f>SUM(H81:H82)</f>
        <v>250</v>
      </c>
      <c r="I80" s="19">
        <f>SUM(I81:I82)</f>
        <v>0</v>
      </c>
      <c r="J80" s="44">
        <f t="shared" si="7"/>
        <v>-1</v>
      </c>
      <c r="K80" s="19">
        <f>SUM(K81:K82)</f>
        <v>6</v>
      </c>
      <c r="L80" s="19">
        <f>SUM(L81:L82)</f>
        <v>0</v>
      </c>
      <c r="M80" s="44">
        <f t="shared" si="13"/>
        <v>-1</v>
      </c>
      <c r="N80" s="19">
        <f t="shared" si="10"/>
        <v>-9</v>
      </c>
      <c r="O80" s="19">
        <f t="shared" si="11"/>
        <v>-1</v>
      </c>
      <c r="P80" s="19">
        <f t="shared" si="12"/>
        <v>-6</v>
      </c>
    </row>
    <row r="81" spans="1:16" thickBot="1" x14ac:dyDescent="0.25">
      <c r="A81" s="32" t="s">
        <v>203</v>
      </c>
      <c r="B81" s="5">
        <v>9</v>
      </c>
      <c r="C81" s="5">
        <v>0</v>
      </c>
      <c r="D81" s="44">
        <f t="shared" si="8"/>
        <v>-1</v>
      </c>
      <c r="E81" s="5">
        <v>1</v>
      </c>
      <c r="F81" s="5">
        <v>0</v>
      </c>
      <c r="G81" s="44">
        <f t="shared" si="9"/>
        <v>-1</v>
      </c>
      <c r="H81" s="5">
        <v>250</v>
      </c>
      <c r="I81" s="5">
        <v>0</v>
      </c>
      <c r="J81" s="44">
        <f t="shared" si="7"/>
        <v>-1</v>
      </c>
      <c r="K81" s="5">
        <v>6</v>
      </c>
      <c r="L81" s="5">
        <v>0</v>
      </c>
      <c r="M81" s="44">
        <f t="shared" si="13"/>
        <v>-1</v>
      </c>
      <c r="N81" s="16">
        <f t="shared" si="10"/>
        <v>-9</v>
      </c>
      <c r="O81" s="16">
        <f t="shared" si="11"/>
        <v>-1</v>
      </c>
      <c r="P81" s="16">
        <f t="shared" si="12"/>
        <v>-6</v>
      </c>
    </row>
    <row r="82" spans="1:16" ht="13.5" thickBot="1" x14ac:dyDescent="0.25">
      <c r="A82" s="32" t="s">
        <v>202</v>
      </c>
      <c r="B82" s="5">
        <v>0</v>
      </c>
      <c r="C82" s="5">
        <v>0</v>
      </c>
      <c r="D82" s="44">
        <v>0</v>
      </c>
      <c r="E82" s="5">
        <v>0</v>
      </c>
      <c r="F82" s="5">
        <v>0</v>
      </c>
      <c r="G82" s="44">
        <v>0</v>
      </c>
      <c r="H82" s="5">
        <v>0</v>
      </c>
      <c r="I82" s="5">
        <v>0</v>
      </c>
      <c r="J82" s="44">
        <v>0</v>
      </c>
      <c r="K82" s="5">
        <v>0</v>
      </c>
      <c r="L82" s="5">
        <v>0</v>
      </c>
      <c r="M82" s="44">
        <v>0</v>
      </c>
      <c r="N82" s="16">
        <f t="shared" si="10"/>
        <v>0</v>
      </c>
      <c r="O82" s="16">
        <f t="shared" si="11"/>
        <v>0</v>
      </c>
      <c r="P82" s="16">
        <f t="shared" si="12"/>
        <v>0</v>
      </c>
    </row>
    <row r="83" spans="1:16" ht="13.5" thickBot="1" x14ac:dyDescent="0.25">
      <c r="A83" s="29" t="s">
        <v>204</v>
      </c>
      <c r="B83" s="19">
        <f>SUM(B84:B87)</f>
        <v>0</v>
      </c>
      <c r="C83" s="19">
        <f>SUM(C84:C87)</f>
        <v>0</v>
      </c>
      <c r="D83" s="44">
        <v>0</v>
      </c>
      <c r="E83" s="19">
        <f>SUM(E84:E87)</f>
        <v>0</v>
      </c>
      <c r="F83" s="19">
        <f>SUM(F84:F87)</f>
        <v>0</v>
      </c>
      <c r="G83" s="44">
        <v>0</v>
      </c>
      <c r="H83" s="19">
        <f>SUM(H84:H87)</f>
        <v>0</v>
      </c>
      <c r="I83" s="19">
        <f>SUM(I84:I87)</f>
        <v>0</v>
      </c>
      <c r="J83" s="44">
        <v>0</v>
      </c>
      <c r="K83" s="19">
        <f>SUM(K84:K87)</f>
        <v>0</v>
      </c>
      <c r="L83" s="19">
        <f>SUM(L84:L87)</f>
        <v>0</v>
      </c>
      <c r="M83" s="44">
        <v>0</v>
      </c>
      <c r="N83" s="19">
        <f t="shared" si="10"/>
        <v>0</v>
      </c>
      <c r="O83" s="19">
        <f t="shared" si="11"/>
        <v>0</v>
      </c>
      <c r="P83" s="19">
        <f t="shared" si="12"/>
        <v>0</v>
      </c>
    </row>
    <row r="84" spans="1:16" thickBot="1" x14ac:dyDescent="0.25">
      <c r="A84" s="32" t="s">
        <v>205</v>
      </c>
      <c r="B84" s="5">
        <v>0</v>
      </c>
      <c r="C84" s="5">
        <v>0</v>
      </c>
      <c r="D84" s="44">
        <v>0</v>
      </c>
      <c r="E84" s="5">
        <v>0</v>
      </c>
      <c r="F84" s="5">
        <v>0</v>
      </c>
      <c r="G84" s="44">
        <v>0</v>
      </c>
      <c r="H84" s="5">
        <v>0</v>
      </c>
      <c r="I84" s="5">
        <v>0</v>
      </c>
      <c r="J84" s="44">
        <v>0</v>
      </c>
      <c r="K84" s="5">
        <v>0</v>
      </c>
      <c r="L84" s="5">
        <v>0</v>
      </c>
      <c r="M84" s="44">
        <v>0</v>
      </c>
      <c r="N84" s="16">
        <f t="shared" si="10"/>
        <v>0</v>
      </c>
      <c r="O84" s="16">
        <f t="shared" si="11"/>
        <v>0</v>
      </c>
      <c r="P84" s="16">
        <f t="shared" si="12"/>
        <v>0</v>
      </c>
    </row>
    <row r="85" spans="1:16" thickBot="1" x14ac:dyDescent="0.25">
      <c r="A85" s="32" t="s">
        <v>206</v>
      </c>
      <c r="B85" s="5">
        <v>0</v>
      </c>
      <c r="C85" s="5">
        <v>0</v>
      </c>
      <c r="D85" s="44">
        <v>0</v>
      </c>
      <c r="E85" s="5">
        <v>0</v>
      </c>
      <c r="F85" s="5">
        <v>0</v>
      </c>
      <c r="G85" s="44">
        <v>0</v>
      </c>
      <c r="H85" s="5">
        <v>0</v>
      </c>
      <c r="I85" s="5">
        <v>0</v>
      </c>
      <c r="J85" s="44">
        <v>0</v>
      </c>
      <c r="K85" s="5">
        <v>0</v>
      </c>
      <c r="L85" s="5">
        <v>0</v>
      </c>
      <c r="M85" s="44">
        <v>0</v>
      </c>
      <c r="N85" s="16">
        <f t="shared" si="10"/>
        <v>0</v>
      </c>
      <c r="O85" s="16">
        <f t="shared" si="11"/>
        <v>0</v>
      </c>
      <c r="P85" s="16">
        <f t="shared" si="12"/>
        <v>0</v>
      </c>
    </row>
    <row r="86" spans="1:16" ht="13.5" thickBot="1" x14ac:dyDescent="0.25">
      <c r="A86" s="32" t="s">
        <v>207</v>
      </c>
      <c r="B86" s="5">
        <v>0</v>
      </c>
      <c r="C86" s="5">
        <v>0</v>
      </c>
      <c r="D86" s="44">
        <v>0</v>
      </c>
      <c r="E86" s="5">
        <v>0</v>
      </c>
      <c r="F86" s="5">
        <v>0</v>
      </c>
      <c r="G86" s="44">
        <v>0</v>
      </c>
      <c r="H86" s="5">
        <v>0</v>
      </c>
      <c r="I86" s="5">
        <v>0</v>
      </c>
      <c r="J86" s="44">
        <v>0</v>
      </c>
      <c r="K86" s="5">
        <v>0</v>
      </c>
      <c r="L86" s="5">
        <v>0</v>
      </c>
      <c r="M86" s="44">
        <v>0</v>
      </c>
      <c r="N86" s="16">
        <f t="shared" si="10"/>
        <v>0</v>
      </c>
      <c r="O86" s="16">
        <f t="shared" si="11"/>
        <v>0</v>
      </c>
      <c r="P86" s="16">
        <f t="shared" si="12"/>
        <v>0</v>
      </c>
    </row>
    <row r="87" spans="1:16" ht="13.5" thickBot="1" x14ac:dyDescent="0.25">
      <c r="A87" s="32" t="s">
        <v>208</v>
      </c>
      <c r="B87" s="5">
        <v>0</v>
      </c>
      <c r="C87" s="5">
        <v>0</v>
      </c>
      <c r="D87" s="44">
        <v>0</v>
      </c>
      <c r="E87" s="5">
        <v>0</v>
      </c>
      <c r="F87" s="5">
        <v>0</v>
      </c>
      <c r="G87" s="44">
        <v>0</v>
      </c>
      <c r="H87" s="5">
        <v>0</v>
      </c>
      <c r="I87" s="5">
        <v>0</v>
      </c>
      <c r="J87" s="44">
        <v>0</v>
      </c>
      <c r="K87" s="5">
        <v>0</v>
      </c>
      <c r="L87" s="5">
        <v>0</v>
      </c>
      <c r="M87" s="44">
        <v>0</v>
      </c>
      <c r="N87" s="16">
        <f t="shared" si="10"/>
        <v>0</v>
      </c>
      <c r="O87" s="16">
        <f t="shared" si="11"/>
        <v>0</v>
      </c>
      <c r="P87" s="16">
        <f t="shared" si="12"/>
        <v>0</v>
      </c>
    </row>
    <row r="88" spans="1:16" ht="13.5" thickBot="1" x14ac:dyDescent="0.25">
      <c r="A88" s="34" t="s">
        <v>13</v>
      </c>
      <c r="B88" s="34">
        <f>SUM(B42,B45,B50,B68,B73,B80,B83)</f>
        <v>57</v>
      </c>
      <c r="C88" s="34">
        <f>SUM(C42,C45,C50,C68,C73,C80,C83)</f>
        <v>0</v>
      </c>
      <c r="D88" s="44">
        <f>(C88-B88)/B88</f>
        <v>-1</v>
      </c>
      <c r="E88" s="34">
        <f>SUM(E42,E45,E68,E73,E80,E83)</f>
        <v>10</v>
      </c>
      <c r="F88" s="34">
        <f>SUM(F42,F45,F68,F73,F80,F83)</f>
        <v>0</v>
      </c>
      <c r="G88" s="44">
        <f>(F88-E88)/E88</f>
        <v>-1</v>
      </c>
      <c r="H88" s="34">
        <f>SUM(H42,H45,H68,H73,H80,H83)</f>
        <v>56408</v>
      </c>
      <c r="I88" s="34">
        <f>SUM(I42,I45,I68,I73,I80,I83)</f>
        <v>0</v>
      </c>
      <c r="J88" s="44">
        <f>(I88-H88)/H88</f>
        <v>-1</v>
      </c>
      <c r="K88" s="34">
        <f>SUM(K42,K45,K68,K73,K80,K83)</f>
        <v>387</v>
      </c>
      <c r="L88" s="34">
        <f>SUM(L42,L45,L68,L73,L80,L83)</f>
        <v>0</v>
      </c>
      <c r="M88" s="44">
        <f>(L88-K88)/K88</f>
        <v>-1</v>
      </c>
      <c r="N88" s="34">
        <f t="shared" si="10"/>
        <v>-57</v>
      </c>
      <c r="O88" s="34">
        <f t="shared" si="11"/>
        <v>-10</v>
      </c>
      <c r="P88" s="34">
        <f t="shared" si="12"/>
        <v>-387</v>
      </c>
    </row>
    <row r="89" spans="1:16" ht="13.5" thickBot="1" x14ac:dyDescent="0.25">
      <c r="A89" s="235" t="s">
        <v>212</v>
      </c>
      <c r="B89" s="235"/>
      <c r="C89" s="235"/>
      <c r="D89" s="235"/>
      <c r="E89" s="235"/>
      <c r="F89" s="235"/>
      <c r="G89" s="235"/>
      <c r="H89" s="235"/>
      <c r="I89" s="235"/>
      <c r="J89" s="235"/>
      <c r="K89" s="235"/>
      <c r="L89" s="235"/>
      <c r="M89" s="235"/>
      <c r="N89" s="235"/>
      <c r="O89" s="235"/>
      <c r="P89" s="235"/>
    </row>
    <row r="90" spans="1:16" ht="13.5" thickBot="1" x14ac:dyDescent="0.25">
      <c r="A90" s="29" t="s">
        <v>211</v>
      </c>
      <c r="B90" s="5">
        <v>1</v>
      </c>
      <c r="C90" s="5">
        <v>0</v>
      </c>
      <c r="D90" s="26">
        <f>(C90-B90)/B90</f>
        <v>-1</v>
      </c>
      <c r="E90" s="39">
        <v>0</v>
      </c>
      <c r="F90" s="39">
        <v>0</v>
      </c>
      <c r="G90" s="26">
        <v>0</v>
      </c>
      <c r="H90" s="39">
        <v>47</v>
      </c>
      <c r="I90" s="39">
        <v>0</v>
      </c>
      <c r="J90" s="26">
        <f>(I90-H90)/H90</f>
        <v>-1</v>
      </c>
      <c r="K90" s="39">
        <v>0</v>
      </c>
      <c r="L90" s="39">
        <v>0</v>
      </c>
      <c r="M90" s="26">
        <v>0</v>
      </c>
      <c r="N90" s="16">
        <f t="shared" si="10"/>
        <v>-1</v>
      </c>
      <c r="O90" s="16">
        <f t="shared" si="11"/>
        <v>0</v>
      </c>
      <c r="P90" s="16">
        <f t="shared" si="12"/>
        <v>0</v>
      </c>
    </row>
    <row r="91" spans="1:16" ht="13.5" thickBot="1" x14ac:dyDescent="0.25">
      <c r="A91" s="29" t="s">
        <v>209</v>
      </c>
      <c r="B91" s="5">
        <v>20</v>
      </c>
      <c r="C91" s="5">
        <v>0</v>
      </c>
      <c r="D91" s="26">
        <f t="shared" ref="D91:D94" si="14">(C91-B91)/B91</f>
        <v>-1</v>
      </c>
      <c r="E91" s="39">
        <v>0</v>
      </c>
      <c r="F91" s="39">
        <v>0</v>
      </c>
      <c r="G91" s="26">
        <v>0</v>
      </c>
      <c r="H91" s="39">
        <v>99</v>
      </c>
      <c r="I91" s="39">
        <v>0</v>
      </c>
      <c r="J91" s="26">
        <f t="shared" ref="J91:J94" si="15">(I91-H91)/H91</f>
        <v>-1</v>
      </c>
      <c r="K91" s="39">
        <v>0</v>
      </c>
      <c r="L91" s="39">
        <v>0</v>
      </c>
      <c r="M91" s="26">
        <v>0</v>
      </c>
      <c r="N91" s="16">
        <f t="shared" si="10"/>
        <v>-20</v>
      </c>
      <c r="O91" s="16">
        <f t="shared" si="11"/>
        <v>0</v>
      </c>
      <c r="P91" s="16">
        <f t="shared" si="12"/>
        <v>0</v>
      </c>
    </row>
    <row r="92" spans="1:16" ht="13.5" thickBot="1" x14ac:dyDescent="0.25">
      <c r="A92" s="29" t="s">
        <v>210</v>
      </c>
      <c r="B92" s="5">
        <v>0</v>
      </c>
      <c r="C92" s="5">
        <v>0</v>
      </c>
      <c r="D92" s="26" t="e">
        <f t="shared" si="14"/>
        <v>#DIV/0!</v>
      </c>
      <c r="E92" s="39">
        <v>0</v>
      </c>
      <c r="F92" s="39">
        <v>0</v>
      </c>
      <c r="G92" s="26">
        <v>0</v>
      </c>
      <c r="H92" s="39">
        <v>0</v>
      </c>
      <c r="I92" s="39">
        <v>0</v>
      </c>
      <c r="J92" s="26">
        <v>0</v>
      </c>
      <c r="K92" s="39">
        <v>0</v>
      </c>
      <c r="L92" s="39">
        <v>0</v>
      </c>
      <c r="M92" s="26">
        <v>0</v>
      </c>
      <c r="N92" s="16">
        <f t="shared" si="10"/>
        <v>0</v>
      </c>
      <c r="O92" s="16">
        <f t="shared" si="11"/>
        <v>0</v>
      </c>
      <c r="P92" s="16">
        <f t="shared" si="12"/>
        <v>0</v>
      </c>
    </row>
    <row r="93" spans="1:16" ht="13.5" thickBot="1" x14ac:dyDescent="0.25">
      <c r="A93" s="30" t="s">
        <v>13</v>
      </c>
      <c r="B93" s="34">
        <f>SUM(B90:B92)</f>
        <v>21</v>
      </c>
      <c r="C93" s="34">
        <f>SUM(C90:C92)</f>
        <v>0</v>
      </c>
      <c r="D93" s="45">
        <f>(C93-B93)/B93</f>
        <v>-1</v>
      </c>
      <c r="E93" s="34">
        <f>SUM(E90:E92)</f>
        <v>0</v>
      </c>
      <c r="F93" s="34">
        <f>SUM(F90:F92)</f>
        <v>0</v>
      </c>
      <c r="G93" s="45">
        <v>0</v>
      </c>
      <c r="H93" s="34">
        <f>SUM(H90:H92)</f>
        <v>146</v>
      </c>
      <c r="I93" s="34">
        <f>SUM(I90:I92)</f>
        <v>0</v>
      </c>
      <c r="J93" s="45">
        <f t="shared" si="15"/>
        <v>-1</v>
      </c>
      <c r="K93" s="34">
        <f>SUM(K90:K92)</f>
        <v>0</v>
      </c>
      <c r="L93" s="34">
        <f>SUM(L90:L92)</f>
        <v>0</v>
      </c>
      <c r="M93" s="45">
        <v>0</v>
      </c>
      <c r="N93" s="34">
        <f t="shared" si="10"/>
        <v>-21</v>
      </c>
      <c r="O93" s="34">
        <f t="shared" si="11"/>
        <v>0</v>
      </c>
      <c r="P93" s="34">
        <f t="shared" si="12"/>
        <v>0</v>
      </c>
    </row>
    <row r="94" spans="1:16" ht="13.5" thickBot="1" x14ac:dyDescent="0.25">
      <c r="A94" s="31" t="s">
        <v>112</v>
      </c>
      <c r="B94" s="28">
        <f>SUM(B40,B88,B93)</f>
        <v>242</v>
      </c>
      <c r="C94" s="28">
        <f>SUM(C40,C88,C93)</f>
        <v>0</v>
      </c>
      <c r="D94" s="46">
        <f t="shared" si="14"/>
        <v>-1</v>
      </c>
      <c r="E94" s="28">
        <f>SUM(E40,E88,E93)</f>
        <v>191</v>
      </c>
      <c r="F94" s="28">
        <f>SUM(F40,F88,F93)</f>
        <v>0</v>
      </c>
      <c r="G94" s="46">
        <f t="shared" ref="G94" si="16">(F94-E94)/E94</f>
        <v>-1</v>
      </c>
      <c r="H94" s="28">
        <f>SUM(H40,H88,H93)</f>
        <v>157466</v>
      </c>
      <c r="I94" s="28">
        <f>SUM(I40,I88,I93)</f>
        <v>0</v>
      </c>
      <c r="J94" s="46">
        <f t="shared" si="15"/>
        <v>-1</v>
      </c>
      <c r="K94" s="28">
        <f>SUM(K40,K88,K93)</f>
        <v>787</v>
      </c>
      <c r="L94" s="28">
        <f>SUM(L40,L88,L93)</f>
        <v>0</v>
      </c>
      <c r="M94" s="47">
        <f t="shared" ref="M94" si="17">(L94-K94)/K94</f>
        <v>-1</v>
      </c>
      <c r="N94" s="27">
        <f t="shared" si="10"/>
        <v>-242</v>
      </c>
      <c r="O94" s="27">
        <f t="shared" si="11"/>
        <v>-191</v>
      </c>
      <c r="P94" s="27">
        <f t="shared" si="12"/>
        <v>-787</v>
      </c>
    </row>
    <row r="95" spans="1:16" ht="26.25" customHeight="1" x14ac:dyDescent="0.2">
      <c r="P95" s="14" t="s">
        <v>229</v>
      </c>
    </row>
    <row r="96" spans="1:16" ht="25.5" customHeight="1" x14ac:dyDescent="0.2">
      <c r="A96" s="192" t="s">
        <v>218</v>
      </c>
      <c r="B96" s="192"/>
      <c r="C96" s="192"/>
      <c r="D96" s="192"/>
      <c r="E96" s="192"/>
      <c r="F96" s="192"/>
      <c r="G96" s="192"/>
      <c r="H96" s="192"/>
      <c r="I96" s="192"/>
      <c r="J96" s="192"/>
      <c r="K96" s="192"/>
      <c r="L96" s="192"/>
      <c r="M96" s="192"/>
      <c r="N96" s="192"/>
      <c r="O96" s="192"/>
      <c r="P96" s="192"/>
    </row>
  </sheetData>
  <mergeCells count="16">
    <mergeCell ref="A96:P96"/>
    <mergeCell ref="A89:P89"/>
    <mergeCell ref="A41:P41"/>
    <mergeCell ref="N1:N3"/>
    <mergeCell ref="O1:O3"/>
    <mergeCell ref="P1:P3"/>
    <mergeCell ref="A4:P4"/>
    <mergeCell ref="J1:J3"/>
    <mergeCell ref="K1:L2"/>
    <mergeCell ref="M1:M3"/>
    <mergeCell ref="A1:A3"/>
    <mergeCell ref="B1:C2"/>
    <mergeCell ref="D1:D3"/>
    <mergeCell ref="E1:F2"/>
    <mergeCell ref="G1:G3"/>
    <mergeCell ref="H1:I2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X51"/>
  <sheetViews>
    <sheetView zoomScale="55" zoomScaleNormal="55" workbookViewId="0">
      <selection activeCell="AI17" sqref="AI17"/>
    </sheetView>
  </sheetViews>
  <sheetFormatPr defaultRowHeight="15" x14ac:dyDescent="0.25"/>
  <cols>
    <col min="1" max="1" width="39" customWidth="1"/>
    <col min="18" max="18" width="39.42578125" customWidth="1"/>
    <col min="35" max="35" width="40.85546875" customWidth="1"/>
  </cols>
  <sheetData>
    <row r="1" spans="1:50" ht="30" customHeight="1" x14ac:dyDescent="0.25">
      <c r="A1" s="199" t="s">
        <v>14</v>
      </c>
      <c r="B1" s="239" t="s">
        <v>104</v>
      </c>
      <c r="C1" s="240"/>
      <c r="D1" s="236" t="s">
        <v>105</v>
      </c>
      <c r="E1" s="239" t="s">
        <v>106</v>
      </c>
      <c r="F1" s="240"/>
      <c r="G1" s="236" t="s">
        <v>105</v>
      </c>
      <c r="H1" s="239" t="s">
        <v>107</v>
      </c>
      <c r="I1" s="240"/>
      <c r="J1" s="236" t="s">
        <v>105</v>
      </c>
      <c r="K1" s="239" t="s">
        <v>108</v>
      </c>
      <c r="L1" s="240"/>
      <c r="M1" s="236" t="s">
        <v>109</v>
      </c>
      <c r="N1" s="236" t="s">
        <v>219</v>
      </c>
      <c r="O1" s="236" t="s">
        <v>220</v>
      </c>
      <c r="P1" s="236" t="s">
        <v>221</v>
      </c>
      <c r="R1" s="199" t="s">
        <v>14</v>
      </c>
      <c r="S1" s="239" t="s">
        <v>104</v>
      </c>
      <c r="T1" s="240"/>
      <c r="U1" s="236" t="s">
        <v>105</v>
      </c>
      <c r="V1" s="239" t="s">
        <v>106</v>
      </c>
      <c r="W1" s="240"/>
      <c r="X1" s="236" t="s">
        <v>105</v>
      </c>
      <c r="Y1" s="239" t="s">
        <v>107</v>
      </c>
      <c r="Z1" s="240"/>
      <c r="AA1" s="236" t="s">
        <v>105</v>
      </c>
      <c r="AB1" s="239" t="s">
        <v>108</v>
      </c>
      <c r="AC1" s="240"/>
      <c r="AD1" s="236" t="s">
        <v>109</v>
      </c>
      <c r="AE1" s="236" t="s">
        <v>219</v>
      </c>
      <c r="AF1" s="236" t="s">
        <v>220</v>
      </c>
      <c r="AG1" s="236" t="s">
        <v>221</v>
      </c>
      <c r="AI1" s="199" t="s">
        <v>14</v>
      </c>
      <c r="AJ1" s="239" t="s">
        <v>104</v>
      </c>
      <c r="AK1" s="240"/>
      <c r="AL1" s="236" t="s">
        <v>105</v>
      </c>
      <c r="AM1" s="239" t="s">
        <v>106</v>
      </c>
      <c r="AN1" s="240"/>
      <c r="AO1" s="236" t="s">
        <v>105</v>
      </c>
      <c r="AP1" s="239" t="s">
        <v>107</v>
      </c>
      <c r="AQ1" s="240"/>
      <c r="AR1" s="236" t="s">
        <v>105</v>
      </c>
      <c r="AS1" s="239" t="s">
        <v>108</v>
      </c>
      <c r="AT1" s="240"/>
      <c r="AU1" s="236" t="s">
        <v>109</v>
      </c>
      <c r="AV1" s="236" t="s">
        <v>219</v>
      </c>
      <c r="AW1" s="236" t="s">
        <v>220</v>
      </c>
      <c r="AX1" s="236" t="s">
        <v>221</v>
      </c>
    </row>
    <row r="2" spans="1:50" ht="30" customHeight="1" thickBot="1" x14ac:dyDescent="0.3">
      <c r="A2" s="200"/>
      <c r="B2" s="241"/>
      <c r="C2" s="242"/>
      <c r="D2" s="237"/>
      <c r="E2" s="241"/>
      <c r="F2" s="242"/>
      <c r="G2" s="237"/>
      <c r="H2" s="241"/>
      <c r="I2" s="242"/>
      <c r="J2" s="237"/>
      <c r="K2" s="241"/>
      <c r="L2" s="242"/>
      <c r="M2" s="237"/>
      <c r="N2" s="237"/>
      <c r="O2" s="237"/>
      <c r="P2" s="237"/>
      <c r="R2" s="200"/>
      <c r="S2" s="241"/>
      <c r="T2" s="242"/>
      <c r="U2" s="237"/>
      <c r="V2" s="241"/>
      <c r="W2" s="242"/>
      <c r="X2" s="237"/>
      <c r="Y2" s="241"/>
      <c r="Z2" s="242"/>
      <c r="AA2" s="237"/>
      <c r="AB2" s="241"/>
      <c r="AC2" s="242"/>
      <c r="AD2" s="237"/>
      <c r="AE2" s="237"/>
      <c r="AF2" s="237"/>
      <c r="AG2" s="237"/>
      <c r="AI2" s="200"/>
      <c r="AJ2" s="241"/>
      <c r="AK2" s="242"/>
      <c r="AL2" s="237"/>
      <c r="AM2" s="241"/>
      <c r="AN2" s="242"/>
      <c r="AO2" s="237"/>
      <c r="AP2" s="241"/>
      <c r="AQ2" s="242"/>
      <c r="AR2" s="237"/>
      <c r="AS2" s="241"/>
      <c r="AT2" s="242"/>
      <c r="AU2" s="237"/>
      <c r="AV2" s="237"/>
      <c r="AW2" s="237"/>
      <c r="AX2" s="237"/>
    </row>
    <row r="3" spans="1:50" ht="43.15" customHeight="1" thickBot="1" x14ac:dyDescent="0.3">
      <c r="A3" s="201"/>
      <c r="B3" s="37" t="s">
        <v>124</v>
      </c>
      <c r="C3" s="37" t="s">
        <v>228</v>
      </c>
      <c r="D3" s="238"/>
      <c r="E3" s="37" t="s">
        <v>124</v>
      </c>
      <c r="F3" s="37" t="s">
        <v>228</v>
      </c>
      <c r="G3" s="238"/>
      <c r="H3" s="37" t="s">
        <v>124</v>
      </c>
      <c r="I3" s="37" t="s">
        <v>228</v>
      </c>
      <c r="J3" s="238"/>
      <c r="K3" s="37" t="s">
        <v>124</v>
      </c>
      <c r="L3" s="37" t="s">
        <v>228</v>
      </c>
      <c r="M3" s="238"/>
      <c r="N3" s="238"/>
      <c r="O3" s="238"/>
      <c r="P3" s="238"/>
      <c r="R3" s="201"/>
      <c r="S3" s="37" t="s">
        <v>124</v>
      </c>
      <c r="T3" s="37" t="s">
        <v>228</v>
      </c>
      <c r="U3" s="238"/>
      <c r="V3" s="37" t="s">
        <v>124</v>
      </c>
      <c r="W3" s="37" t="s">
        <v>228</v>
      </c>
      <c r="X3" s="238"/>
      <c r="Y3" s="37" t="s">
        <v>124</v>
      </c>
      <c r="Z3" s="37" t="s">
        <v>228</v>
      </c>
      <c r="AA3" s="238"/>
      <c r="AB3" s="37" t="s">
        <v>124</v>
      </c>
      <c r="AC3" s="37" t="s">
        <v>228</v>
      </c>
      <c r="AD3" s="238"/>
      <c r="AE3" s="238"/>
      <c r="AF3" s="238"/>
      <c r="AG3" s="238"/>
      <c r="AI3" s="201"/>
      <c r="AJ3" s="37" t="s">
        <v>124</v>
      </c>
      <c r="AK3" s="37" t="s">
        <v>228</v>
      </c>
      <c r="AL3" s="238"/>
      <c r="AM3" s="37" t="s">
        <v>124</v>
      </c>
      <c r="AN3" s="37" t="s">
        <v>228</v>
      </c>
      <c r="AO3" s="238"/>
      <c r="AP3" s="37" t="s">
        <v>124</v>
      </c>
      <c r="AQ3" s="37" t="s">
        <v>228</v>
      </c>
      <c r="AR3" s="238"/>
      <c r="AS3" s="37" t="s">
        <v>124</v>
      </c>
      <c r="AT3" s="37" t="s">
        <v>228</v>
      </c>
      <c r="AU3" s="238"/>
      <c r="AV3" s="238"/>
      <c r="AW3" s="238"/>
      <c r="AX3" s="238"/>
    </row>
    <row r="4" spans="1:50" ht="15" customHeight="1" thickBot="1" x14ac:dyDescent="0.3">
      <c r="A4" s="235" t="s">
        <v>11</v>
      </c>
      <c r="B4" s="235"/>
      <c r="C4" s="235"/>
      <c r="D4" s="235"/>
      <c r="E4" s="235"/>
      <c r="F4" s="235"/>
      <c r="G4" s="235"/>
      <c r="H4" s="235"/>
      <c r="I4" s="235"/>
      <c r="J4" s="235"/>
      <c r="K4" s="235"/>
      <c r="L4" s="235"/>
      <c r="M4" s="235"/>
      <c r="N4" s="235"/>
      <c r="O4" s="235"/>
      <c r="P4" s="235"/>
      <c r="R4" s="235" t="s">
        <v>12</v>
      </c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03"/>
      <c r="AI4" s="235" t="s">
        <v>212</v>
      </c>
      <c r="AJ4" s="235"/>
      <c r="AK4" s="235"/>
      <c r="AL4" s="235"/>
      <c r="AM4" s="235"/>
      <c r="AN4" s="235"/>
      <c r="AO4" s="235"/>
      <c r="AP4" s="235"/>
      <c r="AQ4" s="235"/>
      <c r="AR4" s="235"/>
      <c r="AS4" s="235"/>
      <c r="AT4" s="235"/>
      <c r="AU4" s="235"/>
      <c r="AV4" s="235"/>
      <c r="AW4" s="235"/>
      <c r="AX4" s="235"/>
    </row>
    <row r="5" spans="1:50" ht="35.450000000000003" customHeight="1" thickBot="1" x14ac:dyDescent="0.3">
      <c r="A5" s="29" t="s">
        <v>126</v>
      </c>
      <c r="B5" s="19">
        <f>SUM(B6:B13)</f>
        <v>64</v>
      </c>
      <c r="C5" s="19">
        <f>SUM(C6:C13)</f>
        <v>0</v>
      </c>
      <c r="D5" s="44">
        <f>(C5-B5)/B5</f>
        <v>-1</v>
      </c>
      <c r="E5" s="19">
        <f>SUM(E6:E13)</f>
        <v>124</v>
      </c>
      <c r="F5" s="19">
        <f>SUM(F6:F13)</f>
        <v>0</v>
      </c>
      <c r="G5" s="44">
        <f>(F5-E5)/E5</f>
        <v>-1</v>
      </c>
      <c r="H5" s="19">
        <f>SUM(H6:H13)</f>
        <v>1562</v>
      </c>
      <c r="I5" s="19">
        <f>SUM(I6:I13)</f>
        <v>0</v>
      </c>
      <c r="J5" s="44">
        <f>(I5-H5)/H5</f>
        <v>-1</v>
      </c>
      <c r="K5" s="19">
        <f>SUM(K6:K13)</f>
        <v>271</v>
      </c>
      <c r="L5" s="19">
        <f>SUM(L6:L13)</f>
        <v>0</v>
      </c>
      <c r="M5" s="44">
        <f>(L5-K5)/K5</f>
        <v>-1</v>
      </c>
      <c r="N5" s="19">
        <f>C5-B5</f>
        <v>-64</v>
      </c>
      <c r="O5" s="19">
        <f>F5-E5</f>
        <v>-124</v>
      </c>
      <c r="P5" s="19">
        <f>L5-K5</f>
        <v>-271</v>
      </c>
      <c r="R5" s="29" t="s">
        <v>163</v>
      </c>
      <c r="S5" s="19">
        <f>SUM(S6:S7)</f>
        <v>0</v>
      </c>
      <c r="T5" s="19">
        <f>SUM(T6:T7)</f>
        <v>0</v>
      </c>
      <c r="U5" s="44">
        <v>0</v>
      </c>
      <c r="V5" s="19">
        <f>SUM(V6:V7)</f>
        <v>0</v>
      </c>
      <c r="W5" s="19">
        <f>SUM(W6:W7)</f>
        <v>0</v>
      </c>
      <c r="X5" s="44">
        <v>0</v>
      </c>
      <c r="Y5" s="19">
        <f>SUM(Y6:Y7)</f>
        <v>0</v>
      </c>
      <c r="Z5" s="19">
        <f>SUM(Z6:Z7)</f>
        <v>0</v>
      </c>
      <c r="AA5" s="44">
        <v>0</v>
      </c>
      <c r="AB5" s="19">
        <f>SUM(AB6:AB7)</f>
        <v>0</v>
      </c>
      <c r="AC5" s="19">
        <f>SUM(AC6:AC7)</f>
        <v>0</v>
      </c>
      <c r="AD5" s="44">
        <v>0</v>
      </c>
      <c r="AE5" s="19">
        <f t="shared" ref="AE5:AE51" si="0">T5-S5</f>
        <v>0</v>
      </c>
      <c r="AF5" s="19">
        <f t="shared" ref="AF5:AF51" si="1">W5-V5</f>
        <v>0</v>
      </c>
      <c r="AG5" s="19">
        <f t="shared" ref="AG5:AG51" si="2">AC5-AB5</f>
        <v>0</v>
      </c>
      <c r="AI5" s="29" t="s">
        <v>211</v>
      </c>
      <c r="AJ5" s="5">
        <v>1</v>
      </c>
      <c r="AK5" s="5">
        <v>0</v>
      </c>
      <c r="AL5" s="26">
        <f>(AK5-AJ5)/AJ5</f>
        <v>-1</v>
      </c>
      <c r="AM5" s="39">
        <v>0</v>
      </c>
      <c r="AN5" s="39">
        <v>0</v>
      </c>
      <c r="AO5" s="26">
        <v>0</v>
      </c>
      <c r="AP5" s="39">
        <v>47</v>
      </c>
      <c r="AQ5" s="39">
        <v>0</v>
      </c>
      <c r="AR5" s="26">
        <f>(AQ5-AP5)/AP5</f>
        <v>-1</v>
      </c>
      <c r="AS5" s="39">
        <v>0</v>
      </c>
      <c r="AT5" s="39">
        <v>0</v>
      </c>
      <c r="AU5" s="26">
        <v>0</v>
      </c>
      <c r="AV5" s="16">
        <f t="shared" ref="AV5:AV8" si="3">AK5-AJ5</f>
        <v>-1</v>
      </c>
      <c r="AW5" s="16">
        <f t="shared" ref="AW5:AW8" si="4">AN5-AM5</f>
        <v>0</v>
      </c>
      <c r="AX5" s="16">
        <f t="shared" ref="AX5:AX8" si="5">AT5-AS5</f>
        <v>0</v>
      </c>
    </row>
    <row r="6" spans="1:50" ht="15.75" thickBot="1" x14ac:dyDescent="0.3">
      <c r="A6" s="32" t="s">
        <v>127</v>
      </c>
      <c r="B6" s="5">
        <v>0</v>
      </c>
      <c r="C6" s="5">
        <v>0</v>
      </c>
      <c r="D6" s="44">
        <v>0</v>
      </c>
      <c r="E6" s="5">
        <v>0</v>
      </c>
      <c r="F6" s="5">
        <v>0</v>
      </c>
      <c r="G6" s="44">
        <v>0</v>
      </c>
      <c r="H6" s="5">
        <v>0</v>
      </c>
      <c r="I6" s="5">
        <v>0</v>
      </c>
      <c r="J6" s="44">
        <v>0</v>
      </c>
      <c r="K6" s="5">
        <v>0</v>
      </c>
      <c r="L6" s="5">
        <v>0</v>
      </c>
      <c r="M6" s="44">
        <v>0</v>
      </c>
      <c r="N6" s="16">
        <f t="shared" ref="N6:N40" si="6">C6-B6</f>
        <v>0</v>
      </c>
      <c r="O6" s="16">
        <f t="shared" ref="O6:O40" si="7">F6-E6</f>
        <v>0</v>
      </c>
      <c r="P6" s="16">
        <f t="shared" ref="P6:P40" si="8">L6-K6</f>
        <v>0</v>
      </c>
      <c r="R6" s="32" t="s">
        <v>164</v>
      </c>
      <c r="S6" s="5">
        <v>0</v>
      </c>
      <c r="T6" s="5">
        <v>0</v>
      </c>
      <c r="U6" s="44">
        <v>0</v>
      </c>
      <c r="V6" s="5">
        <v>0</v>
      </c>
      <c r="W6" s="5">
        <v>0</v>
      </c>
      <c r="X6" s="44">
        <v>0</v>
      </c>
      <c r="Y6" s="5">
        <v>0</v>
      </c>
      <c r="Z6" s="5">
        <v>0</v>
      </c>
      <c r="AA6" s="44">
        <v>0</v>
      </c>
      <c r="AB6" s="5">
        <v>0</v>
      </c>
      <c r="AC6" s="5">
        <v>0</v>
      </c>
      <c r="AD6" s="44">
        <v>0</v>
      </c>
      <c r="AE6" s="16">
        <f t="shared" si="0"/>
        <v>0</v>
      </c>
      <c r="AF6" s="16">
        <f t="shared" si="1"/>
        <v>0</v>
      </c>
      <c r="AG6" s="16">
        <f t="shared" si="2"/>
        <v>0</v>
      </c>
      <c r="AI6" s="29" t="s">
        <v>209</v>
      </c>
      <c r="AJ6" s="5">
        <v>20</v>
      </c>
      <c r="AK6" s="5">
        <v>0</v>
      </c>
      <c r="AL6" s="26">
        <f t="shared" ref="AL6:AL7" si="9">(AK6-AJ6)/AJ6</f>
        <v>-1</v>
      </c>
      <c r="AM6" s="39">
        <v>0</v>
      </c>
      <c r="AN6" s="39">
        <v>0</v>
      </c>
      <c r="AO6" s="26">
        <v>0</v>
      </c>
      <c r="AP6" s="39">
        <v>99</v>
      </c>
      <c r="AQ6" s="39">
        <v>0</v>
      </c>
      <c r="AR6" s="26">
        <f t="shared" ref="AR6:AR8" si="10">(AQ6-AP6)/AP6</f>
        <v>-1</v>
      </c>
      <c r="AS6" s="39">
        <v>0</v>
      </c>
      <c r="AT6" s="39">
        <v>0</v>
      </c>
      <c r="AU6" s="26">
        <v>0</v>
      </c>
      <c r="AV6" s="16">
        <f t="shared" si="3"/>
        <v>-20</v>
      </c>
      <c r="AW6" s="16">
        <f t="shared" si="4"/>
        <v>0</v>
      </c>
      <c r="AX6" s="16">
        <f t="shared" si="5"/>
        <v>0</v>
      </c>
    </row>
    <row r="7" spans="1:50" ht="27" customHeight="1" thickBot="1" x14ac:dyDescent="0.3">
      <c r="A7" s="32" t="s">
        <v>128</v>
      </c>
      <c r="B7" s="5">
        <v>8</v>
      </c>
      <c r="C7" s="5">
        <v>0</v>
      </c>
      <c r="D7" s="44">
        <f t="shared" ref="D7:D31" si="11">(C7-B7)/B7</f>
        <v>-1</v>
      </c>
      <c r="E7" s="5">
        <v>2</v>
      </c>
      <c r="F7" s="5">
        <v>0</v>
      </c>
      <c r="G7" s="44">
        <f t="shared" ref="G7:G24" si="12">(F7-E7)/E7</f>
        <v>-1</v>
      </c>
      <c r="H7" s="5">
        <v>17</v>
      </c>
      <c r="I7" s="5">
        <v>0</v>
      </c>
      <c r="J7" s="44">
        <f t="shared" ref="J7:J31" si="13">(I7-H7)/H7</f>
        <v>-1</v>
      </c>
      <c r="K7" s="5">
        <v>0</v>
      </c>
      <c r="L7" s="5">
        <v>0</v>
      </c>
      <c r="M7" s="44">
        <v>0</v>
      </c>
      <c r="N7" s="16">
        <f t="shared" si="6"/>
        <v>-8</v>
      </c>
      <c r="O7" s="16">
        <f t="shared" si="7"/>
        <v>-2</v>
      </c>
      <c r="P7" s="16">
        <f t="shared" si="8"/>
        <v>0</v>
      </c>
      <c r="R7" s="32" t="s">
        <v>165</v>
      </c>
      <c r="S7" s="5">
        <v>0</v>
      </c>
      <c r="T7" s="5">
        <v>0</v>
      </c>
      <c r="U7" s="44">
        <v>0</v>
      </c>
      <c r="V7" s="5">
        <v>0</v>
      </c>
      <c r="W7" s="5">
        <v>0</v>
      </c>
      <c r="X7" s="44">
        <v>0</v>
      </c>
      <c r="Y7" s="5">
        <v>0</v>
      </c>
      <c r="Z7" s="5">
        <v>0</v>
      </c>
      <c r="AA7" s="44">
        <v>0</v>
      </c>
      <c r="AB7" s="5">
        <v>0</v>
      </c>
      <c r="AC7" s="5">
        <v>0</v>
      </c>
      <c r="AD7" s="44">
        <v>0</v>
      </c>
      <c r="AE7" s="16">
        <f t="shared" si="0"/>
        <v>0</v>
      </c>
      <c r="AF7" s="16">
        <f t="shared" si="1"/>
        <v>0</v>
      </c>
      <c r="AG7" s="16">
        <f t="shared" si="2"/>
        <v>0</v>
      </c>
      <c r="AI7" s="29" t="s">
        <v>210</v>
      </c>
      <c r="AJ7" s="5">
        <v>0</v>
      </c>
      <c r="AK7" s="5">
        <v>0</v>
      </c>
      <c r="AL7" s="26" t="e">
        <f t="shared" si="9"/>
        <v>#DIV/0!</v>
      </c>
      <c r="AM7" s="39">
        <v>0</v>
      </c>
      <c r="AN7" s="39">
        <v>0</v>
      </c>
      <c r="AO7" s="26">
        <v>0</v>
      </c>
      <c r="AP7" s="39">
        <v>0</v>
      </c>
      <c r="AQ7" s="39">
        <v>0</v>
      </c>
      <c r="AR7" s="26">
        <v>0</v>
      </c>
      <c r="AS7" s="39">
        <v>0</v>
      </c>
      <c r="AT7" s="39">
        <v>0</v>
      </c>
      <c r="AU7" s="26">
        <v>0</v>
      </c>
      <c r="AV7" s="16">
        <f t="shared" si="3"/>
        <v>0</v>
      </c>
      <c r="AW7" s="16">
        <f t="shared" si="4"/>
        <v>0</v>
      </c>
      <c r="AX7" s="16">
        <f t="shared" si="5"/>
        <v>0</v>
      </c>
    </row>
    <row r="8" spans="1:50" ht="15.75" thickBot="1" x14ac:dyDescent="0.3">
      <c r="A8" s="32" t="s">
        <v>129</v>
      </c>
      <c r="B8" s="5">
        <v>0</v>
      </c>
      <c r="C8" s="5">
        <v>0</v>
      </c>
      <c r="D8" s="44">
        <v>0</v>
      </c>
      <c r="E8" s="5">
        <v>0</v>
      </c>
      <c r="F8" s="5">
        <v>0</v>
      </c>
      <c r="G8" s="44">
        <v>0</v>
      </c>
      <c r="H8" s="5">
        <v>0</v>
      </c>
      <c r="I8" s="5">
        <v>0</v>
      </c>
      <c r="J8" s="44">
        <v>0</v>
      </c>
      <c r="K8" s="5">
        <v>0</v>
      </c>
      <c r="L8" s="5">
        <v>0</v>
      </c>
      <c r="M8" s="44">
        <v>0</v>
      </c>
      <c r="N8" s="16">
        <f t="shared" si="6"/>
        <v>0</v>
      </c>
      <c r="O8" s="16">
        <f t="shared" si="7"/>
        <v>0</v>
      </c>
      <c r="P8" s="16">
        <f t="shared" si="8"/>
        <v>0</v>
      </c>
      <c r="R8" s="29" t="s">
        <v>166</v>
      </c>
      <c r="S8" s="19">
        <f>SUM(S9:S12)</f>
        <v>3</v>
      </c>
      <c r="T8" s="19">
        <f>SUM(T9:T12)</f>
        <v>0</v>
      </c>
      <c r="U8" s="44">
        <f>(T8-S8)/S8</f>
        <v>-1</v>
      </c>
      <c r="V8" s="19">
        <f>SUM(V9:V12)</f>
        <v>0</v>
      </c>
      <c r="W8" s="19">
        <f>SUM(W9:W12)</f>
        <v>0</v>
      </c>
      <c r="X8" s="44">
        <v>0</v>
      </c>
      <c r="Y8" s="19">
        <f>SUM(Y9:Y12)</f>
        <v>879</v>
      </c>
      <c r="Z8" s="19">
        <f>SUM(Z9:Z12)</f>
        <v>0</v>
      </c>
      <c r="AA8" s="44">
        <f>(Z8-Y8)/Y8</f>
        <v>-1</v>
      </c>
      <c r="AB8" s="19">
        <f>SUM(AB9:AB12)</f>
        <v>0</v>
      </c>
      <c r="AC8" s="19">
        <f>SUM(AC9:AC12)</f>
        <v>0</v>
      </c>
      <c r="AD8" s="44">
        <v>0</v>
      </c>
      <c r="AE8" s="19">
        <f t="shared" si="0"/>
        <v>-3</v>
      </c>
      <c r="AF8" s="19">
        <f t="shared" si="1"/>
        <v>0</v>
      </c>
      <c r="AG8" s="19">
        <f t="shared" si="2"/>
        <v>0</v>
      </c>
      <c r="AI8" s="30" t="s">
        <v>13</v>
      </c>
      <c r="AJ8" s="34">
        <f>SUM(AJ5:AJ7)</f>
        <v>21</v>
      </c>
      <c r="AK8" s="34">
        <f>SUM(AK5:AK7)</f>
        <v>0</v>
      </c>
      <c r="AL8" s="45">
        <f>(AK8-AJ8)/AJ8</f>
        <v>-1</v>
      </c>
      <c r="AM8" s="34">
        <f>SUM(AM5:AM7)</f>
        <v>0</v>
      </c>
      <c r="AN8" s="34">
        <f>SUM(AN5:AN7)</f>
        <v>0</v>
      </c>
      <c r="AO8" s="45">
        <v>0</v>
      </c>
      <c r="AP8" s="34">
        <f>SUM(AP5:AP7)</f>
        <v>146</v>
      </c>
      <c r="AQ8" s="34">
        <f>SUM(AQ5:AQ7)</f>
        <v>0</v>
      </c>
      <c r="AR8" s="45">
        <f t="shared" si="10"/>
        <v>-1</v>
      </c>
      <c r="AS8" s="34">
        <f>SUM(AS5:AS7)</f>
        <v>0</v>
      </c>
      <c r="AT8" s="34">
        <f>SUM(AT5:AT7)</f>
        <v>0</v>
      </c>
      <c r="AU8" s="45">
        <v>0</v>
      </c>
      <c r="AV8" s="34">
        <f t="shared" si="3"/>
        <v>-21</v>
      </c>
      <c r="AW8" s="34">
        <f t="shared" si="4"/>
        <v>0</v>
      </c>
      <c r="AX8" s="34">
        <f t="shared" si="5"/>
        <v>0</v>
      </c>
    </row>
    <row r="9" spans="1:50" ht="26.25" thickBot="1" x14ac:dyDescent="0.3">
      <c r="A9" s="32" t="s">
        <v>130</v>
      </c>
      <c r="B9" s="5">
        <v>0</v>
      </c>
      <c r="C9" s="5">
        <v>0</v>
      </c>
      <c r="D9" s="44">
        <v>0</v>
      </c>
      <c r="E9" s="5">
        <v>0</v>
      </c>
      <c r="F9" s="5">
        <v>0</v>
      </c>
      <c r="G9" s="44">
        <v>0</v>
      </c>
      <c r="H9" s="5">
        <v>0</v>
      </c>
      <c r="I9" s="5">
        <v>0</v>
      </c>
      <c r="J9" s="44">
        <v>0</v>
      </c>
      <c r="K9" s="5">
        <v>0</v>
      </c>
      <c r="L9" s="5">
        <v>0</v>
      </c>
      <c r="M9" s="44">
        <v>0</v>
      </c>
      <c r="N9" s="16">
        <f t="shared" si="6"/>
        <v>0</v>
      </c>
      <c r="O9" s="16">
        <f t="shared" si="7"/>
        <v>0</v>
      </c>
      <c r="P9" s="16">
        <f t="shared" si="8"/>
        <v>0</v>
      </c>
      <c r="R9" s="32" t="s">
        <v>167</v>
      </c>
      <c r="S9" s="5">
        <v>1</v>
      </c>
      <c r="T9" s="5">
        <v>0</v>
      </c>
      <c r="U9" s="44">
        <f>(T9-S9)/S9</f>
        <v>-1</v>
      </c>
      <c r="V9" s="5">
        <v>0</v>
      </c>
      <c r="W9" s="5">
        <v>0</v>
      </c>
      <c r="X9" s="44">
        <v>0</v>
      </c>
      <c r="Y9" s="5">
        <v>681</v>
      </c>
      <c r="Z9" s="5">
        <v>0</v>
      </c>
      <c r="AA9" s="44">
        <f t="shared" ref="AA9:AA44" si="14">(Z9-Y9)/Y9</f>
        <v>-1</v>
      </c>
      <c r="AB9" s="5">
        <v>0</v>
      </c>
      <c r="AC9" s="5">
        <v>0</v>
      </c>
      <c r="AD9" s="44">
        <v>0</v>
      </c>
      <c r="AE9" s="16">
        <f t="shared" si="0"/>
        <v>-1</v>
      </c>
      <c r="AF9" s="16">
        <f t="shared" si="1"/>
        <v>0</v>
      </c>
      <c r="AG9" s="16">
        <f t="shared" si="2"/>
        <v>0</v>
      </c>
    </row>
    <row r="10" spans="1:50" ht="27" customHeight="1" thickBot="1" x14ac:dyDescent="0.3">
      <c r="A10" s="32" t="s">
        <v>131</v>
      </c>
      <c r="B10" s="5">
        <v>30</v>
      </c>
      <c r="C10" s="5">
        <v>0</v>
      </c>
      <c r="D10" s="44">
        <f t="shared" si="11"/>
        <v>-1</v>
      </c>
      <c r="E10" s="5">
        <v>67</v>
      </c>
      <c r="F10" s="5">
        <v>0</v>
      </c>
      <c r="G10" s="44">
        <f t="shared" si="12"/>
        <v>-1</v>
      </c>
      <c r="H10" s="5">
        <v>438</v>
      </c>
      <c r="I10" s="5">
        <v>0</v>
      </c>
      <c r="J10" s="44">
        <f t="shared" si="13"/>
        <v>-1</v>
      </c>
      <c r="K10" s="5">
        <v>130</v>
      </c>
      <c r="L10" s="5">
        <v>0</v>
      </c>
      <c r="M10" s="44">
        <f t="shared" ref="M10:M24" si="15">(L10-K10)/K10</f>
        <v>-1</v>
      </c>
      <c r="N10" s="16">
        <f t="shared" si="6"/>
        <v>-30</v>
      </c>
      <c r="O10" s="16">
        <f t="shared" si="7"/>
        <v>-67</v>
      </c>
      <c r="P10" s="16">
        <f t="shared" si="8"/>
        <v>-130</v>
      </c>
      <c r="R10" s="32" t="s">
        <v>168</v>
      </c>
      <c r="S10" s="5">
        <v>2</v>
      </c>
      <c r="T10" s="5">
        <v>0</v>
      </c>
      <c r="U10" s="44">
        <v>1</v>
      </c>
      <c r="V10" s="5">
        <v>0</v>
      </c>
      <c r="W10" s="5">
        <v>0</v>
      </c>
      <c r="X10" s="44">
        <v>0</v>
      </c>
      <c r="Y10" s="5">
        <v>198</v>
      </c>
      <c r="Z10" s="5">
        <v>0</v>
      </c>
      <c r="AA10" s="44">
        <v>1</v>
      </c>
      <c r="AB10" s="5">
        <v>0</v>
      </c>
      <c r="AC10" s="5">
        <v>0</v>
      </c>
      <c r="AD10" s="44">
        <v>0</v>
      </c>
      <c r="AE10" s="16">
        <f t="shared" si="0"/>
        <v>-2</v>
      </c>
      <c r="AF10" s="16">
        <f t="shared" si="1"/>
        <v>0</v>
      </c>
      <c r="AG10" s="16">
        <f t="shared" si="2"/>
        <v>0</v>
      </c>
    </row>
    <row r="11" spans="1:50" ht="15.75" thickBot="1" x14ac:dyDescent="0.3">
      <c r="A11" s="32" t="s">
        <v>132</v>
      </c>
      <c r="B11" s="5">
        <v>9</v>
      </c>
      <c r="C11" s="5">
        <v>0</v>
      </c>
      <c r="D11" s="44">
        <f t="shared" si="11"/>
        <v>-1</v>
      </c>
      <c r="E11" s="5">
        <v>13</v>
      </c>
      <c r="F11" s="5">
        <v>0</v>
      </c>
      <c r="G11" s="44">
        <v>1</v>
      </c>
      <c r="H11" s="5">
        <v>23</v>
      </c>
      <c r="I11" s="5">
        <v>0</v>
      </c>
      <c r="J11" s="44">
        <v>1</v>
      </c>
      <c r="K11" s="5">
        <v>25</v>
      </c>
      <c r="L11" s="5">
        <v>0</v>
      </c>
      <c r="M11" s="44">
        <f t="shared" si="15"/>
        <v>-1</v>
      </c>
      <c r="N11" s="16">
        <f t="shared" si="6"/>
        <v>-9</v>
      </c>
      <c r="O11" s="16">
        <f t="shared" si="7"/>
        <v>-13</v>
      </c>
      <c r="P11" s="16">
        <f t="shared" si="8"/>
        <v>-25</v>
      </c>
      <c r="R11" s="32" t="s">
        <v>169</v>
      </c>
      <c r="S11" s="5">
        <v>0</v>
      </c>
      <c r="T11" s="5">
        <v>0</v>
      </c>
      <c r="U11" s="44">
        <v>0</v>
      </c>
      <c r="V11" s="5">
        <v>0</v>
      </c>
      <c r="W11" s="5">
        <v>0</v>
      </c>
      <c r="X11" s="44">
        <v>0</v>
      </c>
      <c r="Y11" s="5">
        <v>0</v>
      </c>
      <c r="Z11" s="5">
        <v>0</v>
      </c>
      <c r="AA11" s="44">
        <v>0</v>
      </c>
      <c r="AB11" s="5">
        <v>0</v>
      </c>
      <c r="AC11" s="5">
        <v>0</v>
      </c>
      <c r="AD11" s="44">
        <v>0</v>
      </c>
      <c r="AE11" s="16">
        <f t="shared" si="0"/>
        <v>0</v>
      </c>
      <c r="AF11" s="16">
        <f t="shared" si="1"/>
        <v>0</v>
      </c>
      <c r="AG11" s="16">
        <f t="shared" si="2"/>
        <v>0</v>
      </c>
    </row>
    <row r="12" spans="1:50" ht="26.25" thickBot="1" x14ac:dyDescent="0.3">
      <c r="A12" s="32" t="s">
        <v>133</v>
      </c>
      <c r="B12" s="5">
        <v>17</v>
      </c>
      <c r="C12" s="5">
        <v>0</v>
      </c>
      <c r="D12" s="44">
        <f t="shared" si="11"/>
        <v>-1</v>
      </c>
      <c r="E12" s="5">
        <v>42</v>
      </c>
      <c r="F12" s="5">
        <v>0</v>
      </c>
      <c r="G12" s="44">
        <f t="shared" si="12"/>
        <v>-1</v>
      </c>
      <c r="H12" s="5">
        <v>1084</v>
      </c>
      <c r="I12" s="5">
        <v>0</v>
      </c>
      <c r="J12" s="44">
        <f t="shared" si="13"/>
        <v>-1</v>
      </c>
      <c r="K12" s="5">
        <v>116</v>
      </c>
      <c r="L12" s="5">
        <v>0</v>
      </c>
      <c r="M12" s="44">
        <f t="shared" si="15"/>
        <v>-1</v>
      </c>
      <c r="N12" s="16">
        <f t="shared" si="6"/>
        <v>-17</v>
      </c>
      <c r="O12" s="16">
        <f t="shared" si="7"/>
        <v>-42</v>
      </c>
      <c r="P12" s="16">
        <f t="shared" si="8"/>
        <v>-116</v>
      </c>
      <c r="R12" s="32" t="s">
        <v>217</v>
      </c>
      <c r="S12" s="5">
        <v>0</v>
      </c>
      <c r="T12" s="5">
        <v>0</v>
      </c>
      <c r="U12" s="44">
        <v>0</v>
      </c>
      <c r="V12" s="5">
        <v>0</v>
      </c>
      <c r="W12" s="5">
        <v>0</v>
      </c>
      <c r="X12" s="44">
        <v>0</v>
      </c>
      <c r="Y12" s="5">
        <v>0</v>
      </c>
      <c r="Z12" s="5">
        <v>0</v>
      </c>
      <c r="AA12" s="44">
        <v>0</v>
      </c>
      <c r="AB12" s="5">
        <v>0</v>
      </c>
      <c r="AC12" s="5">
        <v>0</v>
      </c>
      <c r="AD12" s="44">
        <v>0</v>
      </c>
      <c r="AE12" s="16">
        <f t="shared" si="0"/>
        <v>0</v>
      </c>
      <c r="AF12" s="16">
        <f t="shared" si="1"/>
        <v>0</v>
      </c>
      <c r="AG12" s="16">
        <f t="shared" si="2"/>
        <v>0</v>
      </c>
    </row>
    <row r="13" spans="1:50" ht="79.900000000000006" customHeight="1" thickBot="1" x14ac:dyDescent="0.3">
      <c r="A13" s="32" t="s">
        <v>134</v>
      </c>
      <c r="B13" s="5">
        <v>0</v>
      </c>
      <c r="C13" s="5">
        <v>0</v>
      </c>
      <c r="D13" s="44">
        <v>0</v>
      </c>
      <c r="E13" s="5">
        <v>0</v>
      </c>
      <c r="F13" s="5">
        <v>0</v>
      </c>
      <c r="G13" s="44">
        <v>0</v>
      </c>
      <c r="H13" s="5">
        <v>0</v>
      </c>
      <c r="I13" s="5">
        <v>0</v>
      </c>
      <c r="J13" s="44">
        <v>0</v>
      </c>
      <c r="K13" s="5">
        <v>0</v>
      </c>
      <c r="L13" s="5">
        <v>0</v>
      </c>
      <c r="M13" s="44">
        <v>0</v>
      </c>
      <c r="N13" s="16">
        <f t="shared" si="6"/>
        <v>0</v>
      </c>
      <c r="O13" s="16">
        <f t="shared" si="7"/>
        <v>0</v>
      </c>
      <c r="P13" s="16">
        <f t="shared" si="8"/>
        <v>0</v>
      </c>
      <c r="R13" s="29" t="s">
        <v>170</v>
      </c>
      <c r="S13" s="19">
        <f>SUM(S14:S30)</f>
        <v>36</v>
      </c>
      <c r="T13" s="19">
        <f>SUM(T14:T30)</f>
        <v>0</v>
      </c>
      <c r="U13" s="44">
        <f>(T13-S13)/S13</f>
        <v>-1</v>
      </c>
      <c r="V13" s="19">
        <f>SUM(V14:V30)</f>
        <v>8</v>
      </c>
      <c r="W13" s="19">
        <f>SUM(W14:W30)</f>
        <v>0</v>
      </c>
      <c r="X13" s="44">
        <f>(W13-V13)/V13</f>
        <v>-1</v>
      </c>
      <c r="Y13" s="19">
        <f>SUM(Y14:Y30)</f>
        <v>77954</v>
      </c>
      <c r="Z13" s="19">
        <f>SUM(Z14:Z30)</f>
        <v>0</v>
      </c>
      <c r="AA13" s="44">
        <f>(Z13-Y13)/Y13</f>
        <v>-1</v>
      </c>
      <c r="AB13" s="19">
        <f>SUM(AB14:AB30)</f>
        <v>2</v>
      </c>
      <c r="AC13" s="19">
        <f>SUM(AC14:AC30)</f>
        <v>0</v>
      </c>
      <c r="AD13" s="44">
        <f>(AC13-AB13)/AB13</f>
        <v>-1</v>
      </c>
      <c r="AE13" s="19">
        <f t="shared" si="0"/>
        <v>-36</v>
      </c>
      <c r="AF13" s="19">
        <f t="shared" si="1"/>
        <v>-8</v>
      </c>
      <c r="AG13" s="19">
        <f t="shared" si="2"/>
        <v>-2</v>
      </c>
    </row>
    <row r="14" spans="1:50" ht="66.599999999999994" customHeight="1" thickBot="1" x14ac:dyDescent="0.3">
      <c r="A14" s="29" t="s">
        <v>135</v>
      </c>
      <c r="B14" s="19">
        <f>SUM(B15:B21)</f>
        <v>83</v>
      </c>
      <c r="C14" s="19">
        <f>SUM(C15:C21)</f>
        <v>0</v>
      </c>
      <c r="D14" s="44">
        <f t="shared" si="11"/>
        <v>-1</v>
      </c>
      <c r="E14" s="19">
        <f>SUM(E15:E21)</f>
        <v>55</v>
      </c>
      <c r="F14" s="19">
        <f>SUM(F15:F21)</f>
        <v>0</v>
      </c>
      <c r="G14" s="44">
        <f t="shared" si="12"/>
        <v>-1</v>
      </c>
      <c r="H14" s="19">
        <f>SUM(H15:H21)</f>
        <v>10647</v>
      </c>
      <c r="I14" s="19">
        <f>SUM(I15:I21)</f>
        <v>0</v>
      </c>
      <c r="J14" s="44">
        <f>(I14-H14)/H14</f>
        <v>-1</v>
      </c>
      <c r="K14" s="19">
        <f>SUM(K15:K21)</f>
        <v>121</v>
      </c>
      <c r="L14" s="19">
        <f>SUM(L15:L21)</f>
        <v>0</v>
      </c>
      <c r="M14" s="44">
        <f t="shared" si="15"/>
        <v>-1</v>
      </c>
      <c r="N14" s="19">
        <f t="shared" si="6"/>
        <v>-83</v>
      </c>
      <c r="O14" s="19">
        <f t="shared" si="7"/>
        <v>-55</v>
      </c>
      <c r="P14" s="19">
        <f t="shared" si="8"/>
        <v>-121</v>
      </c>
      <c r="R14" s="32" t="s">
        <v>187</v>
      </c>
      <c r="S14" s="5">
        <v>9</v>
      </c>
      <c r="T14" s="5">
        <v>0</v>
      </c>
      <c r="U14" s="44">
        <f t="shared" ref="U14:U44" si="16">(T14-S14)/S14</f>
        <v>-1</v>
      </c>
      <c r="V14" s="5">
        <v>1</v>
      </c>
      <c r="W14" s="5">
        <v>0</v>
      </c>
      <c r="X14" s="44">
        <f t="shared" ref="X14:X44" si="17">(W14-V14)/V14</f>
        <v>-1</v>
      </c>
      <c r="Y14" s="5">
        <v>2128</v>
      </c>
      <c r="Z14" s="5">
        <v>0</v>
      </c>
      <c r="AA14" s="44">
        <f t="shared" si="14"/>
        <v>-1</v>
      </c>
      <c r="AB14" s="5">
        <v>0</v>
      </c>
      <c r="AC14" s="5">
        <v>0</v>
      </c>
      <c r="AD14" s="44">
        <v>0</v>
      </c>
      <c r="AE14" s="16">
        <f t="shared" si="0"/>
        <v>-9</v>
      </c>
      <c r="AF14" s="16">
        <f t="shared" si="1"/>
        <v>-1</v>
      </c>
      <c r="AG14" s="16">
        <f t="shared" si="2"/>
        <v>0</v>
      </c>
    </row>
    <row r="15" spans="1:50" ht="51.75" thickBot="1" x14ac:dyDescent="0.3">
      <c r="A15" s="32" t="s">
        <v>136</v>
      </c>
      <c r="B15" s="5">
        <v>19</v>
      </c>
      <c r="C15" s="5">
        <v>0</v>
      </c>
      <c r="D15" s="44">
        <f t="shared" si="11"/>
        <v>-1</v>
      </c>
      <c r="E15" s="5">
        <v>37</v>
      </c>
      <c r="F15" s="5">
        <v>0</v>
      </c>
      <c r="G15" s="44">
        <f t="shared" si="12"/>
        <v>-1</v>
      </c>
      <c r="H15" s="5">
        <v>815</v>
      </c>
      <c r="I15" s="5">
        <v>0</v>
      </c>
      <c r="J15" s="44">
        <f t="shared" si="13"/>
        <v>-1</v>
      </c>
      <c r="K15" s="5">
        <v>85</v>
      </c>
      <c r="L15" s="5">
        <v>0</v>
      </c>
      <c r="M15" s="44">
        <f t="shared" si="15"/>
        <v>-1</v>
      </c>
      <c r="N15" s="16">
        <f t="shared" si="6"/>
        <v>-19</v>
      </c>
      <c r="O15" s="16">
        <f t="shared" si="7"/>
        <v>-37</v>
      </c>
      <c r="P15" s="16">
        <f t="shared" si="8"/>
        <v>-85</v>
      </c>
      <c r="R15" s="32" t="s">
        <v>186</v>
      </c>
      <c r="S15" s="5">
        <v>0</v>
      </c>
      <c r="T15" s="5">
        <v>0</v>
      </c>
      <c r="U15" s="44" t="e">
        <f t="shared" si="16"/>
        <v>#DIV/0!</v>
      </c>
      <c r="V15" s="5">
        <v>0</v>
      </c>
      <c r="W15" s="5">
        <v>0</v>
      </c>
      <c r="X15" s="44" t="e">
        <f t="shared" si="17"/>
        <v>#DIV/0!</v>
      </c>
      <c r="Y15" s="5">
        <v>0</v>
      </c>
      <c r="Z15" s="5">
        <v>0</v>
      </c>
      <c r="AA15" s="44" t="e">
        <f t="shared" si="14"/>
        <v>#DIV/0!</v>
      </c>
      <c r="AB15" s="5">
        <v>0</v>
      </c>
      <c r="AC15" s="5">
        <v>0</v>
      </c>
      <c r="AD15" s="44">
        <v>0</v>
      </c>
      <c r="AE15" s="16">
        <f t="shared" si="0"/>
        <v>0</v>
      </c>
      <c r="AF15" s="16">
        <f t="shared" si="1"/>
        <v>0</v>
      </c>
      <c r="AG15" s="16">
        <f t="shared" si="2"/>
        <v>0</v>
      </c>
    </row>
    <row r="16" spans="1:50" ht="64.5" thickBot="1" x14ac:dyDescent="0.3">
      <c r="A16" s="32" t="s">
        <v>138</v>
      </c>
      <c r="B16" s="5">
        <v>1</v>
      </c>
      <c r="C16" s="5">
        <v>0</v>
      </c>
      <c r="D16" s="44">
        <v>1</v>
      </c>
      <c r="E16" s="5">
        <v>1</v>
      </c>
      <c r="F16" s="5">
        <v>0</v>
      </c>
      <c r="G16" s="44">
        <v>1</v>
      </c>
      <c r="H16" s="5">
        <v>11</v>
      </c>
      <c r="I16" s="5">
        <v>0</v>
      </c>
      <c r="J16" s="44">
        <v>1</v>
      </c>
      <c r="K16" s="5">
        <v>13</v>
      </c>
      <c r="L16" s="5">
        <v>0</v>
      </c>
      <c r="M16" s="44">
        <v>1</v>
      </c>
      <c r="N16" s="16">
        <f t="shared" si="6"/>
        <v>-1</v>
      </c>
      <c r="O16" s="16">
        <f t="shared" si="7"/>
        <v>-1</v>
      </c>
      <c r="P16" s="16">
        <f t="shared" si="8"/>
        <v>-13</v>
      </c>
      <c r="R16" s="32" t="s">
        <v>171</v>
      </c>
      <c r="S16" s="5">
        <v>1</v>
      </c>
      <c r="T16" s="5">
        <v>0</v>
      </c>
      <c r="U16" s="44">
        <v>1</v>
      </c>
      <c r="V16" s="5">
        <v>0</v>
      </c>
      <c r="W16" s="5">
        <v>0</v>
      </c>
      <c r="X16" s="44">
        <v>0</v>
      </c>
      <c r="Y16" s="5">
        <v>1105</v>
      </c>
      <c r="Z16" s="5">
        <v>0</v>
      </c>
      <c r="AA16" s="44">
        <v>1</v>
      </c>
      <c r="AB16" s="5">
        <v>0</v>
      </c>
      <c r="AC16" s="5">
        <v>0</v>
      </c>
      <c r="AD16" s="44">
        <v>0</v>
      </c>
      <c r="AE16" s="16">
        <f t="shared" si="0"/>
        <v>-1</v>
      </c>
      <c r="AF16" s="16">
        <f t="shared" si="1"/>
        <v>0</v>
      </c>
      <c r="AG16" s="16">
        <f t="shared" si="2"/>
        <v>0</v>
      </c>
    </row>
    <row r="17" spans="1:33" ht="51.75" thickBot="1" x14ac:dyDescent="0.3">
      <c r="A17" s="32" t="s">
        <v>139</v>
      </c>
      <c r="B17" s="5">
        <v>1</v>
      </c>
      <c r="C17" s="5">
        <v>0</v>
      </c>
      <c r="D17" s="44">
        <f t="shared" si="11"/>
        <v>-1</v>
      </c>
      <c r="E17" s="5">
        <v>1</v>
      </c>
      <c r="F17" s="5">
        <v>0</v>
      </c>
      <c r="G17" s="44">
        <f t="shared" si="12"/>
        <v>-1</v>
      </c>
      <c r="H17" s="5">
        <v>9659</v>
      </c>
      <c r="I17" s="5">
        <v>0</v>
      </c>
      <c r="J17" s="44">
        <f t="shared" si="13"/>
        <v>-1</v>
      </c>
      <c r="K17" s="5">
        <v>0</v>
      </c>
      <c r="L17" s="5">
        <v>0</v>
      </c>
      <c r="M17" s="44" t="e">
        <f t="shared" si="15"/>
        <v>#DIV/0!</v>
      </c>
      <c r="N17" s="16">
        <f t="shared" si="6"/>
        <v>-1</v>
      </c>
      <c r="O17" s="16">
        <f t="shared" si="7"/>
        <v>-1</v>
      </c>
      <c r="P17" s="16">
        <f t="shared" si="8"/>
        <v>0</v>
      </c>
      <c r="R17" s="32" t="s">
        <v>172</v>
      </c>
      <c r="S17" s="5">
        <v>5</v>
      </c>
      <c r="T17" s="5">
        <v>0</v>
      </c>
      <c r="U17" s="44">
        <v>1</v>
      </c>
      <c r="V17" s="5">
        <v>1</v>
      </c>
      <c r="W17" s="5">
        <v>0</v>
      </c>
      <c r="X17" s="44">
        <v>1</v>
      </c>
      <c r="Y17" s="5">
        <v>203</v>
      </c>
      <c r="Z17" s="5">
        <v>0</v>
      </c>
      <c r="AA17" s="44">
        <v>1</v>
      </c>
      <c r="AB17" s="5">
        <v>0</v>
      </c>
      <c r="AC17" s="5">
        <v>0</v>
      </c>
      <c r="AD17" s="44">
        <v>0</v>
      </c>
      <c r="AE17" s="16">
        <f t="shared" si="0"/>
        <v>-5</v>
      </c>
      <c r="AF17" s="16">
        <f t="shared" si="1"/>
        <v>-1</v>
      </c>
      <c r="AG17" s="16">
        <f t="shared" si="2"/>
        <v>0</v>
      </c>
    </row>
    <row r="18" spans="1:33" ht="64.5" thickBot="1" x14ac:dyDescent="0.3">
      <c r="A18" s="32" t="s">
        <v>140</v>
      </c>
      <c r="B18" s="5">
        <v>0</v>
      </c>
      <c r="C18" s="5">
        <v>0</v>
      </c>
      <c r="D18" s="44">
        <v>0</v>
      </c>
      <c r="E18" s="5">
        <v>0</v>
      </c>
      <c r="F18" s="5">
        <v>0</v>
      </c>
      <c r="G18" s="44">
        <v>0</v>
      </c>
      <c r="H18" s="5">
        <v>0</v>
      </c>
      <c r="I18" s="5">
        <v>0</v>
      </c>
      <c r="J18" s="44">
        <v>0</v>
      </c>
      <c r="K18" s="5">
        <v>0</v>
      </c>
      <c r="L18" s="5">
        <v>0</v>
      </c>
      <c r="M18" s="44">
        <v>0</v>
      </c>
      <c r="N18" s="16">
        <f t="shared" si="6"/>
        <v>0</v>
      </c>
      <c r="O18" s="16">
        <f t="shared" si="7"/>
        <v>0</v>
      </c>
      <c r="P18" s="16">
        <f t="shared" si="8"/>
        <v>0</v>
      </c>
      <c r="R18" s="32" t="s">
        <v>173</v>
      </c>
      <c r="S18" s="5">
        <v>1</v>
      </c>
      <c r="T18" s="5">
        <v>0</v>
      </c>
      <c r="U18" s="44">
        <v>1</v>
      </c>
      <c r="V18" s="5">
        <v>0</v>
      </c>
      <c r="W18" s="5">
        <v>0</v>
      </c>
      <c r="X18" s="44">
        <v>0</v>
      </c>
      <c r="Y18" s="5">
        <v>11012</v>
      </c>
      <c r="Z18" s="5">
        <v>0</v>
      </c>
      <c r="AA18" s="44">
        <v>1</v>
      </c>
      <c r="AB18" s="5">
        <v>0</v>
      </c>
      <c r="AC18" s="5">
        <v>0</v>
      </c>
      <c r="AD18" s="44">
        <v>0</v>
      </c>
      <c r="AE18" s="16">
        <f t="shared" si="0"/>
        <v>-1</v>
      </c>
      <c r="AF18" s="16">
        <f t="shared" si="1"/>
        <v>0</v>
      </c>
      <c r="AG18" s="16">
        <f t="shared" si="2"/>
        <v>0</v>
      </c>
    </row>
    <row r="19" spans="1:33" ht="51.75" thickBot="1" x14ac:dyDescent="0.3">
      <c r="A19" s="32" t="s">
        <v>141</v>
      </c>
      <c r="B19" s="5">
        <v>2</v>
      </c>
      <c r="C19" s="5">
        <v>0</v>
      </c>
      <c r="D19" s="44">
        <v>1</v>
      </c>
      <c r="E19" s="5">
        <v>5</v>
      </c>
      <c r="F19" s="5">
        <v>0</v>
      </c>
      <c r="G19" s="44">
        <v>1</v>
      </c>
      <c r="H19" s="5">
        <v>5</v>
      </c>
      <c r="I19" s="5">
        <v>0</v>
      </c>
      <c r="J19" s="44">
        <v>1</v>
      </c>
      <c r="K19" s="5">
        <v>0</v>
      </c>
      <c r="L19" s="5">
        <v>0</v>
      </c>
      <c r="M19" s="44">
        <v>0</v>
      </c>
      <c r="N19" s="16">
        <f t="shared" si="6"/>
        <v>-2</v>
      </c>
      <c r="O19" s="16">
        <f t="shared" si="7"/>
        <v>-5</v>
      </c>
      <c r="P19" s="16">
        <f t="shared" si="8"/>
        <v>0</v>
      </c>
      <c r="R19" s="32" t="s">
        <v>174</v>
      </c>
      <c r="S19" s="5">
        <v>0</v>
      </c>
      <c r="T19" s="5">
        <v>0</v>
      </c>
      <c r="U19" s="44">
        <v>0</v>
      </c>
      <c r="V19" s="5">
        <v>0</v>
      </c>
      <c r="W19" s="5">
        <v>0</v>
      </c>
      <c r="X19" s="44">
        <v>0</v>
      </c>
      <c r="Y19" s="5">
        <v>0</v>
      </c>
      <c r="Z19" s="5">
        <v>0</v>
      </c>
      <c r="AA19" s="44">
        <v>0</v>
      </c>
      <c r="AB19" s="5">
        <v>0</v>
      </c>
      <c r="AC19" s="5">
        <v>0</v>
      </c>
      <c r="AD19" s="44">
        <v>0</v>
      </c>
      <c r="AE19" s="16">
        <f t="shared" si="0"/>
        <v>0</v>
      </c>
      <c r="AF19" s="16">
        <f t="shared" si="1"/>
        <v>0</v>
      </c>
      <c r="AG19" s="16">
        <f t="shared" si="2"/>
        <v>0</v>
      </c>
    </row>
    <row r="20" spans="1:33" ht="39" thickBot="1" x14ac:dyDescent="0.3">
      <c r="A20" s="32" t="s">
        <v>142</v>
      </c>
      <c r="B20" s="5">
        <v>5</v>
      </c>
      <c r="C20" s="5">
        <v>0</v>
      </c>
      <c r="D20" s="44">
        <v>1</v>
      </c>
      <c r="E20" s="5">
        <v>5</v>
      </c>
      <c r="F20" s="5">
        <v>0</v>
      </c>
      <c r="G20" s="44">
        <v>1</v>
      </c>
      <c r="H20" s="5">
        <v>8</v>
      </c>
      <c r="I20" s="5">
        <v>0</v>
      </c>
      <c r="J20" s="44">
        <v>1</v>
      </c>
      <c r="K20" s="5">
        <v>7</v>
      </c>
      <c r="L20" s="5">
        <v>0</v>
      </c>
      <c r="M20" s="44">
        <v>1</v>
      </c>
      <c r="N20" s="16">
        <f t="shared" si="6"/>
        <v>-5</v>
      </c>
      <c r="O20" s="16">
        <f t="shared" si="7"/>
        <v>-5</v>
      </c>
      <c r="P20" s="16">
        <f t="shared" si="8"/>
        <v>-7</v>
      </c>
      <c r="R20" s="32" t="s">
        <v>175</v>
      </c>
      <c r="S20" s="5">
        <v>2</v>
      </c>
      <c r="T20" s="5">
        <v>0</v>
      </c>
      <c r="U20" s="44">
        <v>1</v>
      </c>
      <c r="V20" s="5">
        <v>0</v>
      </c>
      <c r="W20" s="5">
        <v>0</v>
      </c>
      <c r="X20" s="44">
        <v>0</v>
      </c>
      <c r="Y20" s="5">
        <v>0</v>
      </c>
      <c r="Z20" s="5">
        <v>0</v>
      </c>
      <c r="AA20" s="44">
        <v>0</v>
      </c>
      <c r="AB20" s="5">
        <v>0</v>
      </c>
      <c r="AC20" s="5">
        <v>0</v>
      </c>
      <c r="AD20" s="44">
        <v>0</v>
      </c>
      <c r="AE20" s="16">
        <f t="shared" si="0"/>
        <v>-2</v>
      </c>
      <c r="AF20" s="16">
        <f t="shared" si="1"/>
        <v>0</v>
      </c>
      <c r="AG20" s="16">
        <f t="shared" si="2"/>
        <v>0</v>
      </c>
    </row>
    <row r="21" spans="1:33" ht="26.25" thickBot="1" x14ac:dyDescent="0.3">
      <c r="A21" s="32" t="s">
        <v>137</v>
      </c>
      <c r="B21" s="5">
        <v>55</v>
      </c>
      <c r="C21" s="5">
        <v>0</v>
      </c>
      <c r="D21" s="44">
        <v>1</v>
      </c>
      <c r="E21" s="5">
        <v>6</v>
      </c>
      <c r="F21" s="5">
        <v>0</v>
      </c>
      <c r="G21" s="44">
        <v>1</v>
      </c>
      <c r="H21" s="5">
        <v>149</v>
      </c>
      <c r="I21" s="5">
        <v>0</v>
      </c>
      <c r="J21" s="44">
        <v>1</v>
      </c>
      <c r="K21" s="5">
        <v>16</v>
      </c>
      <c r="L21" s="5">
        <v>0</v>
      </c>
      <c r="M21" s="44">
        <v>1</v>
      </c>
      <c r="N21" s="16">
        <f t="shared" si="6"/>
        <v>-55</v>
      </c>
      <c r="O21" s="16">
        <f t="shared" si="7"/>
        <v>-6</v>
      </c>
      <c r="P21" s="16">
        <f t="shared" si="8"/>
        <v>-16</v>
      </c>
      <c r="R21" s="32" t="s">
        <v>176</v>
      </c>
      <c r="S21" s="5">
        <v>3</v>
      </c>
      <c r="T21" s="5">
        <v>0</v>
      </c>
      <c r="U21" s="44">
        <f t="shared" si="16"/>
        <v>-1</v>
      </c>
      <c r="V21" s="5">
        <v>0</v>
      </c>
      <c r="W21" s="5">
        <v>0</v>
      </c>
      <c r="X21" s="44">
        <v>0</v>
      </c>
      <c r="Y21" s="5">
        <v>371</v>
      </c>
      <c r="Z21" s="5">
        <v>0</v>
      </c>
      <c r="AA21" s="44">
        <v>1</v>
      </c>
      <c r="AB21" s="5">
        <v>0</v>
      </c>
      <c r="AC21" s="5">
        <v>0</v>
      </c>
      <c r="AD21" s="44">
        <v>0</v>
      </c>
      <c r="AE21" s="16">
        <f t="shared" si="0"/>
        <v>-3</v>
      </c>
      <c r="AF21" s="16">
        <f t="shared" si="1"/>
        <v>0</v>
      </c>
      <c r="AG21" s="16">
        <f t="shared" si="2"/>
        <v>0</v>
      </c>
    </row>
    <row r="22" spans="1:33" ht="15.75" thickBot="1" x14ac:dyDescent="0.3">
      <c r="A22" s="29" t="s">
        <v>143</v>
      </c>
      <c r="B22" s="19">
        <f>SUM(B23:B25)</f>
        <v>9</v>
      </c>
      <c r="C22" s="19">
        <f>SUM(C23:C25)</f>
        <v>0</v>
      </c>
      <c r="D22" s="44">
        <f t="shared" si="11"/>
        <v>-1</v>
      </c>
      <c r="E22" s="19">
        <f>SUM(E23:E25)</f>
        <v>0</v>
      </c>
      <c r="F22" s="19">
        <f>SUM(F23:F25)</f>
        <v>0</v>
      </c>
      <c r="G22" s="44" t="e">
        <f t="shared" si="12"/>
        <v>#DIV/0!</v>
      </c>
      <c r="H22" s="19">
        <f>SUM(H23:H25)</f>
        <v>88693</v>
      </c>
      <c r="I22" s="19">
        <f>SUM(I23:I25)</f>
        <v>0</v>
      </c>
      <c r="J22" s="44">
        <f t="shared" si="13"/>
        <v>-1</v>
      </c>
      <c r="K22" s="19">
        <f>SUM(K23:K25)</f>
        <v>0</v>
      </c>
      <c r="L22" s="19">
        <f>SUM(L23:L25)</f>
        <v>0</v>
      </c>
      <c r="M22" s="44" t="e">
        <f t="shared" si="15"/>
        <v>#DIV/0!</v>
      </c>
      <c r="N22" s="19">
        <f t="shared" si="6"/>
        <v>-9</v>
      </c>
      <c r="O22" s="19">
        <f t="shared" si="7"/>
        <v>0</v>
      </c>
      <c r="P22" s="19">
        <f t="shared" si="8"/>
        <v>0</v>
      </c>
      <c r="R22" s="32" t="s">
        <v>177</v>
      </c>
      <c r="S22" s="5">
        <v>0</v>
      </c>
      <c r="T22" s="5">
        <v>0</v>
      </c>
      <c r="U22" s="44">
        <v>0</v>
      </c>
      <c r="V22" s="5">
        <v>0</v>
      </c>
      <c r="W22" s="5">
        <v>0</v>
      </c>
      <c r="X22" s="44">
        <v>0</v>
      </c>
      <c r="Y22" s="5">
        <v>0</v>
      </c>
      <c r="Z22" s="5">
        <v>0</v>
      </c>
      <c r="AA22" s="44">
        <v>0</v>
      </c>
      <c r="AB22" s="5">
        <v>0</v>
      </c>
      <c r="AC22" s="5">
        <v>0</v>
      </c>
      <c r="AD22" s="44">
        <v>0</v>
      </c>
      <c r="AE22" s="16">
        <f t="shared" si="0"/>
        <v>0</v>
      </c>
      <c r="AF22" s="16">
        <f t="shared" si="1"/>
        <v>0</v>
      </c>
      <c r="AG22" s="16">
        <f t="shared" si="2"/>
        <v>0</v>
      </c>
    </row>
    <row r="23" spans="1:33" ht="15.75" thickBot="1" x14ac:dyDescent="0.3">
      <c r="A23" s="32" t="s">
        <v>144</v>
      </c>
      <c r="B23" s="5">
        <v>1</v>
      </c>
      <c r="C23" s="5">
        <v>0</v>
      </c>
      <c r="D23" s="44">
        <v>1</v>
      </c>
      <c r="E23" s="5">
        <v>0</v>
      </c>
      <c r="F23" s="5">
        <v>0</v>
      </c>
      <c r="G23" s="44">
        <v>0</v>
      </c>
      <c r="H23" s="5">
        <v>51</v>
      </c>
      <c r="I23" s="5">
        <v>0</v>
      </c>
      <c r="J23" s="44">
        <v>1</v>
      </c>
      <c r="K23" s="5">
        <v>0</v>
      </c>
      <c r="L23" s="5">
        <v>0</v>
      </c>
      <c r="M23" s="44">
        <v>0</v>
      </c>
      <c r="N23" s="16">
        <f t="shared" si="6"/>
        <v>-1</v>
      </c>
      <c r="O23" s="16">
        <f t="shared" si="7"/>
        <v>0</v>
      </c>
      <c r="P23" s="16">
        <f t="shared" si="8"/>
        <v>0</v>
      </c>
      <c r="R23" s="32" t="s">
        <v>178</v>
      </c>
      <c r="S23" s="5">
        <v>0</v>
      </c>
      <c r="T23" s="5">
        <v>0</v>
      </c>
      <c r="U23" s="44">
        <v>0</v>
      </c>
      <c r="V23" s="5">
        <v>0</v>
      </c>
      <c r="W23" s="5">
        <v>0</v>
      </c>
      <c r="X23" s="44">
        <v>0</v>
      </c>
      <c r="Y23" s="5">
        <v>0</v>
      </c>
      <c r="Z23" s="5">
        <v>0</v>
      </c>
      <c r="AA23" s="44">
        <v>0</v>
      </c>
      <c r="AB23" s="5">
        <v>0</v>
      </c>
      <c r="AC23" s="5">
        <v>0</v>
      </c>
      <c r="AD23" s="44">
        <v>0</v>
      </c>
      <c r="AE23" s="16">
        <f t="shared" si="0"/>
        <v>0</v>
      </c>
      <c r="AF23" s="16">
        <f t="shared" si="1"/>
        <v>0</v>
      </c>
      <c r="AG23" s="16">
        <f t="shared" si="2"/>
        <v>0</v>
      </c>
    </row>
    <row r="24" spans="1:33" ht="39" thickBot="1" x14ac:dyDescent="0.3">
      <c r="A24" s="32" t="s">
        <v>146</v>
      </c>
      <c r="B24" s="5">
        <v>8</v>
      </c>
      <c r="C24" s="5">
        <v>0</v>
      </c>
      <c r="D24" s="44">
        <f t="shared" si="11"/>
        <v>-1</v>
      </c>
      <c r="E24" s="5">
        <v>0</v>
      </c>
      <c r="F24" s="5">
        <v>0</v>
      </c>
      <c r="G24" s="44" t="e">
        <f t="shared" si="12"/>
        <v>#DIV/0!</v>
      </c>
      <c r="H24" s="5">
        <v>88642</v>
      </c>
      <c r="I24" s="5">
        <v>0</v>
      </c>
      <c r="J24" s="44">
        <f t="shared" si="13"/>
        <v>-1</v>
      </c>
      <c r="K24" s="5">
        <v>0</v>
      </c>
      <c r="L24" s="5">
        <v>0</v>
      </c>
      <c r="M24" s="44" t="e">
        <f t="shared" si="15"/>
        <v>#DIV/0!</v>
      </c>
      <c r="N24" s="16">
        <f t="shared" si="6"/>
        <v>-8</v>
      </c>
      <c r="O24" s="16">
        <f t="shared" si="7"/>
        <v>0</v>
      </c>
      <c r="P24" s="16">
        <f t="shared" si="8"/>
        <v>0</v>
      </c>
      <c r="R24" s="32" t="s">
        <v>179</v>
      </c>
      <c r="S24" s="5">
        <v>1</v>
      </c>
      <c r="T24" s="5">
        <v>0</v>
      </c>
      <c r="U24" s="44">
        <v>1</v>
      </c>
      <c r="V24" s="5">
        <v>0</v>
      </c>
      <c r="W24" s="5">
        <v>0</v>
      </c>
      <c r="X24" s="44">
        <v>0</v>
      </c>
      <c r="Y24" s="5">
        <v>49665</v>
      </c>
      <c r="Z24" s="5">
        <v>0</v>
      </c>
      <c r="AA24" s="44">
        <v>1</v>
      </c>
      <c r="AB24" s="5">
        <v>0</v>
      </c>
      <c r="AC24" s="5">
        <v>0</v>
      </c>
      <c r="AD24" s="44">
        <v>0</v>
      </c>
      <c r="AE24" s="16">
        <f t="shared" si="0"/>
        <v>-1</v>
      </c>
      <c r="AF24" s="16">
        <f t="shared" si="1"/>
        <v>0</v>
      </c>
      <c r="AG24" s="16">
        <f t="shared" si="2"/>
        <v>0</v>
      </c>
    </row>
    <row r="25" spans="1:33" ht="15.75" thickBot="1" x14ac:dyDescent="0.3">
      <c r="A25" s="32" t="s">
        <v>145</v>
      </c>
      <c r="B25" s="5">
        <v>0</v>
      </c>
      <c r="C25" s="5">
        <v>0</v>
      </c>
      <c r="D25" s="44">
        <v>0</v>
      </c>
      <c r="E25" s="5">
        <v>0</v>
      </c>
      <c r="F25" s="5">
        <v>0</v>
      </c>
      <c r="G25" s="44">
        <v>0</v>
      </c>
      <c r="H25" s="5">
        <v>0</v>
      </c>
      <c r="I25" s="5">
        <v>0</v>
      </c>
      <c r="J25" s="44">
        <v>0</v>
      </c>
      <c r="K25" s="5">
        <v>0</v>
      </c>
      <c r="L25" s="5">
        <v>0</v>
      </c>
      <c r="M25" s="44">
        <v>0</v>
      </c>
      <c r="N25" s="16">
        <f t="shared" si="6"/>
        <v>0</v>
      </c>
      <c r="O25" s="16">
        <f t="shared" si="7"/>
        <v>0</v>
      </c>
      <c r="P25" s="16">
        <f t="shared" si="8"/>
        <v>0</v>
      </c>
      <c r="R25" s="32" t="s">
        <v>180</v>
      </c>
      <c r="S25" s="5">
        <v>0</v>
      </c>
      <c r="T25" s="5">
        <v>0</v>
      </c>
      <c r="U25" s="44">
        <v>0</v>
      </c>
      <c r="V25" s="5">
        <v>0</v>
      </c>
      <c r="W25" s="5">
        <v>0</v>
      </c>
      <c r="X25" s="44">
        <v>0</v>
      </c>
      <c r="Y25" s="5">
        <v>0</v>
      </c>
      <c r="Z25" s="5">
        <v>0</v>
      </c>
      <c r="AA25" s="44">
        <v>0</v>
      </c>
      <c r="AB25" s="5">
        <v>0</v>
      </c>
      <c r="AC25" s="5">
        <v>0</v>
      </c>
      <c r="AD25" s="44">
        <v>0</v>
      </c>
      <c r="AE25" s="16">
        <f t="shared" si="0"/>
        <v>0</v>
      </c>
      <c r="AF25" s="16">
        <f t="shared" si="1"/>
        <v>0</v>
      </c>
      <c r="AG25" s="16">
        <f t="shared" si="2"/>
        <v>0</v>
      </c>
    </row>
    <row r="26" spans="1:33" ht="26.25" thickBot="1" x14ac:dyDescent="0.3">
      <c r="A26" s="29" t="s">
        <v>147</v>
      </c>
      <c r="B26" s="19">
        <f>SUM(B27:B29)</f>
        <v>0</v>
      </c>
      <c r="C26" s="19">
        <f>SUM(C27:C29)</f>
        <v>0</v>
      </c>
      <c r="D26" s="44">
        <v>0</v>
      </c>
      <c r="E26" s="19">
        <f>SUM(E27:E29)</f>
        <v>0</v>
      </c>
      <c r="F26" s="19">
        <f>SUM(F27:F29)</f>
        <v>0</v>
      </c>
      <c r="G26" s="44">
        <v>0</v>
      </c>
      <c r="H26" s="19">
        <f>SUM(H27:H29)</f>
        <v>0</v>
      </c>
      <c r="I26" s="19">
        <f>SUM(I27:I29)</f>
        <v>0</v>
      </c>
      <c r="J26" s="44">
        <v>0</v>
      </c>
      <c r="K26" s="19">
        <f>SUM(K27:K29)</f>
        <v>0</v>
      </c>
      <c r="L26" s="19">
        <f>SUM(L27:L29)</f>
        <v>0</v>
      </c>
      <c r="M26" s="44">
        <v>0</v>
      </c>
      <c r="N26" s="19">
        <f t="shared" si="6"/>
        <v>0</v>
      </c>
      <c r="O26" s="19">
        <f t="shared" si="7"/>
        <v>0</v>
      </c>
      <c r="P26" s="19">
        <f t="shared" si="8"/>
        <v>0</v>
      </c>
      <c r="R26" s="32" t="s">
        <v>181</v>
      </c>
      <c r="S26" s="5">
        <v>0</v>
      </c>
      <c r="T26" s="5">
        <v>0</v>
      </c>
      <c r="U26" s="44" t="e">
        <f t="shared" si="16"/>
        <v>#DIV/0!</v>
      </c>
      <c r="V26" s="5">
        <v>0</v>
      </c>
      <c r="W26" s="5">
        <v>0</v>
      </c>
      <c r="X26" s="44">
        <v>0</v>
      </c>
      <c r="Y26" s="5">
        <v>0</v>
      </c>
      <c r="Z26" s="5">
        <v>0</v>
      </c>
      <c r="AA26" s="44">
        <v>0</v>
      </c>
      <c r="AB26" s="5">
        <v>0</v>
      </c>
      <c r="AC26" s="5">
        <v>0</v>
      </c>
      <c r="AD26" s="44">
        <v>0</v>
      </c>
      <c r="AE26" s="16">
        <f t="shared" si="0"/>
        <v>0</v>
      </c>
      <c r="AF26" s="16">
        <f t="shared" si="1"/>
        <v>0</v>
      </c>
      <c r="AG26" s="16">
        <f t="shared" si="2"/>
        <v>0</v>
      </c>
    </row>
    <row r="27" spans="1:33" ht="39" thickBot="1" x14ac:dyDescent="0.3">
      <c r="A27" s="32" t="s">
        <v>149</v>
      </c>
      <c r="B27" s="5">
        <v>0</v>
      </c>
      <c r="C27" s="5">
        <v>0</v>
      </c>
      <c r="D27" s="44">
        <v>0</v>
      </c>
      <c r="E27" s="5">
        <v>0</v>
      </c>
      <c r="F27" s="5">
        <v>0</v>
      </c>
      <c r="G27" s="44">
        <v>0</v>
      </c>
      <c r="H27" s="5">
        <v>0</v>
      </c>
      <c r="I27" s="5">
        <v>0</v>
      </c>
      <c r="J27" s="44">
        <v>0</v>
      </c>
      <c r="K27" s="5">
        <v>0</v>
      </c>
      <c r="L27" s="5">
        <v>0</v>
      </c>
      <c r="M27" s="44">
        <v>0</v>
      </c>
      <c r="N27" s="16">
        <f t="shared" si="6"/>
        <v>0</v>
      </c>
      <c r="O27" s="16">
        <f t="shared" si="7"/>
        <v>0</v>
      </c>
      <c r="P27" s="16">
        <f t="shared" si="8"/>
        <v>0</v>
      </c>
      <c r="R27" s="32" t="s">
        <v>182</v>
      </c>
      <c r="S27" s="5">
        <v>1</v>
      </c>
      <c r="T27" s="5">
        <v>0</v>
      </c>
      <c r="U27" s="44">
        <f t="shared" si="16"/>
        <v>-1</v>
      </c>
      <c r="V27" s="5">
        <v>0</v>
      </c>
      <c r="W27" s="5">
        <v>0</v>
      </c>
      <c r="X27" s="44">
        <v>0</v>
      </c>
      <c r="Y27" s="5">
        <v>0</v>
      </c>
      <c r="Z27" s="5">
        <v>0</v>
      </c>
      <c r="AA27" s="44">
        <v>0</v>
      </c>
      <c r="AB27" s="5">
        <v>0</v>
      </c>
      <c r="AC27" s="5">
        <v>0</v>
      </c>
      <c r="AD27" s="44">
        <v>0</v>
      </c>
      <c r="AE27" s="16">
        <f t="shared" si="0"/>
        <v>-1</v>
      </c>
      <c r="AF27" s="16">
        <f t="shared" si="1"/>
        <v>0</v>
      </c>
      <c r="AG27" s="16">
        <f t="shared" si="2"/>
        <v>0</v>
      </c>
    </row>
    <row r="28" spans="1:33" ht="51.75" thickBot="1" x14ac:dyDescent="0.3">
      <c r="A28" s="32" t="s">
        <v>150</v>
      </c>
      <c r="B28" s="5">
        <v>0</v>
      </c>
      <c r="C28" s="5">
        <v>0</v>
      </c>
      <c r="D28" s="44">
        <v>0</v>
      </c>
      <c r="E28" s="5">
        <v>0</v>
      </c>
      <c r="F28" s="5">
        <v>0</v>
      </c>
      <c r="G28" s="44">
        <v>0</v>
      </c>
      <c r="H28" s="5">
        <v>0</v>
      </c>
      <c r="I28" s="5">
        <v>0</v>
      </c>
      <c r="J28" s="44">
        <v>0</v>
      </c>
      <c r="K28" s="5">
        <v>0</v>
      </c>
      <c r="L28" s="5">
        <v>0</v>
      </c>
      <c r="M28" s="44">
        <v>0</v>
      </c>
      <c r="N28" s="16">
        <f t="shared" si="6"/>
        <v>0</v>
      </c>
      <c r="O28" s="16">
        <f t="shared" si="7"/>
        <v>0</v>
      </c>
      <c r="P28" s="16">
        <f t="shared" si="8"/>
        <v>0</v>
      </c>
      <c r="R28" s="32" t="s">
        <v>183</v>
      </c>
      <c r="S28" s="5">
        <v>2</v>
      </c>
      <c r="T28" s="5">
        <v>0</v>
      </c>
      <c r="U28" s="44">
        <f t="shared" si="16"/>
        <v>-1</v>
      </c>
      <c r="V28" s="5">
        <v>0</v>
      </c>
      <c r="W28" s="5">
        <v>0</v>
      </c>
      <c r="X28" s="44">
        <v>0</v>
      </c>
      <c r="Y28" s="5">
        <v>0</v>
      </c>
      <c r="Z28" s="5">
        <v>0</v>
      </c>
      <c r="AA28" s="44">
        <v>0</v>
      </c>
      <c r="AB28" s="5">
        <v>0</v>
      </c>
      <c r="AC28" s="5">
        <v>0</v>
      </c>
      <c r="AD28" s="44">
        <v>0</v>
      </c>
      <c r="AE28" s="16">
        <f t="shared" si="0"/>
        <v>-2</v>
      </c>
      <c r="AF28" s="16">
        <f t="shared" si="1"/>
        <v>0</v>
      </c>
      <c r="AG28" s="16">
        <f t="shared" si="2"/>
        <v>0</v>
      </c>
    </row>
    <row r="29" spans="1:33" ht="26.25" thickBot="1" x14ac:dyDescent="0.3">
      <c r="A29" s="32" t="s">
        <v>148</v>
      </c>
      <c r="B29" s="5">
        <v>0</v>
      </c>
      <c r="C29" s="5">
        <v>0</v>
      </c>
      <c r="D29" s="44">
        <v>0</v>
      </c>
      <c r="E29" s="5">
        <v>0</v>
      </c>
      <c r="F29" s="5">
        <v>0</v>
      </c>
      <c r="G29" s="44">
        <v>0</v>
      </c>
      <c r="H29" s="5">
        <v>0</v>
      </c>
      <c r="I29" s="5">
        <v>0</v>
      </c>
      <c r="J29" s="44">
        <v>0</v>
      </c>
      <c r="K29" s="5">
        <v>0</v>
      </c>
      <c r="L29" s="5">
        <v>0</v>
      </c>
      <c r="M29" s="44">
        <v>0</v>
      </c>
      <c r="N29" s="16">
        <f t="shared" si="6"/>
        <v>0</v>
      </c>
      <c r="O29" s="16">
        <f t="shared" si="7"/>
        <v>0</v>
      </c>
      <c r="P29" s="16">
        <f t="shared" si="8"/>
        <v>0</v>
      </c>
      <c r="R29" s="32" t="s">
        <v>184</v>
      </c>
      <c r="S29" s="5">
        <v>2</v>
      </c>
      <c r="T29" s="5">
        <v>0</v>
      </c>
      <c r="U29" s="44">
        <f t="shared" si="16"/>
        <v>-1</v>
      </c>
      <c r="V29" s="5">
        <v>2</v>
      </c>
      <c r="W29" s="5">
        <v>0</v>
      </c>
      <c r="X29" s="44">
        <f t="shared" si="17"/>
        <v>-1</v>
      </c>
      <c r="Y29" s="5">
        <v>3</v>
      </c>
      <c r="Z29" s="5">
        <v>0</v>
      </c>
      <c r="AA29" s="44">
        <f t="shared" si="14"/>
        <v>-1</v>
      </c>
      <c r="AB29" s="5">
        <v>1</v>
      </c>
      <c r="AC29" s="5">
        <v>0</v>
      </c>
      <c r="AD29" s="44">
        <v>0</v>
      </c>
      <c r="AE29" s="16">
        <f t="shared" si="0"/>
        <v>-2</v>
      </c>
      <c r="AF29" s="16">
        <f t="shared" si="1"/>
        <v>-2</v>
      </c>
      <c r="AG29" s="16">
        <f t="shared" si="2"/>
        <v>-1</v>
      </c>
    </row>
    <row r="30" spans="1:33" ht="26.25" thickBot="1" x14ac:dyDescent="0.3">
      <c r="A30" s="29" t="s">
        <v>151</v>
      </c>
      <c r="B30" s="19">
        <f>SUM(B31)</f>
        <v>8</v>
      </c>
      <c r="C30" s="19">
        <f>SUM(C31)</f>
        <v>0</v>
      </c>
      <c r="D30" s="44">
        <f t="shared" si="11"/>
        <v>-1</v>
      </c>
      <c r="E30" s="19">
        <f>SUM(E31)</f>
        <v>2</v>
      </c>
      <c r="F30" s="19">
        <f>SUM(F31)</f>
        <v>0</v>
      </c>
      <c r="G30" s="44">
        <v>1</v>
      </c>
      <c r="H30" s="19">
        <f>SUM(H31)</f>
        <v>10</v>
      </c>
      <c r="I30" s="19">
        <f>SUM(I31)</f>
        <v>0</v>
      </c>
      <c r="J30" s="44">
        <f t="shared" si="13"/>
        <v>-1</v>
      </c>
      <c r="K30" s="19">
        <f>SUM(K31)</f>
        <v>8</v>
      </c>
      <c r="L30" s="19">
        <f>SUM(L31)</f>
        <v>0</v>
      </c>
      <c r="M30" s="44">
        <v>1</v>
      </c>
      <c r="N30" s="19">
        <f t="shared" si="6"/>
        <v>-8</v>
      </c>
      <c r="O30" s="19">
        <f t="shared" si="7"/>
        <v>-2</v>
      </c>
      <c r="P30" s="19">
        <f t="shared" si="8"/>
        <v>-8</v>
      </c>
      <c r="R30" s="32" t="s">
        <v>185</v>
      </c>
      <c r="S30" s="5">
        <v>9</v>
      </c>
      <c r="T30" s="5">
        <v>0</v>
      </c>
      <c r="U30" s="44">
        <v>1</v>
      </c>
      <c r="V30" s="5">
        <v>4</v>
      </c>
      <c r="W30" s="5">
        <v>0</v>
      </c>
      <c r="X30" s="44">
        <v>1</v>
      </c>
      <c r="Y30" s="5">
        <v>13467</v>
      </c>
      <c r="Z30" s="5">
        <v>0</v>
      </c>
      <c r="AA30" s="44">
        <v>1</v>
      </c>
      <c r="AB30" s="5">
        <v>1</v>
      </c>
      <c r="AC30" s="5">
        <v>0</v>
      </c>
      <c r="AD30" s="44">
        <v>1</v>
      </c>
      <c r="AE30" s="16">
        <f t="shared" si="0"/>
        <v>-9</v>
      </c>
      <c r="AF30" s="16">
        <f t="shared" si="1"/>
        <v>-4</v>
      </c>
      <c r="AG30" s="16">
        <f t="shared" si="2"/>
        <v>-1</v>
      </c>
    </row>
    <row r="31" spans="1:33" ht="90" thickBot="1" x14ac:dyDescent="0.3">
      <c r="A31" s="32" t="s">
        <v>152</v>
      </c>
      <c r="B31" s="5">
        <v>8</v>
      </c>
      <c r="C31" s="5">
        <v>0</v>
      </c>
      <c r="D31" s="44">
        <f t="shared" si="11"/>
        <v>-1</v>
      </c>
      <c r="E31" s="5">
        <v>2</v>
      </c>
      <c r="F31" s="5">
        <v>0</v>
      </c>
      <c r="G31" s="44">
        <v>1</v>
      </c>
      <c r="H31" s="5">
        <v>10</v>
      </c>
      <c r="I31" s="5">
        <v>0</v>
      </c>
      <c r="J31" s="44">
        <f t="shared" si="13"/>
        <v>-1</v>
      </c>
      <c r="K31" s="5">
        <v>8</v>
      </c>
      <c r="L31" s="5">
        <v>0</v>
      </c>
      <c r="M31" s="44">
        <v>1</v>
      </c>
      <c r="N31" s="16">
        <f t="shared" si="6"/>
        <v>-8</v>
      </c>
      <c r="O31" s="16">
        <f t="shared" si="7"/>
        <v>-2</v>
      </c>
      <c r="P31" s="16">
        <f t="shared" si="8"/>
        <v>-8</v>
      </c>
      <c r="R31" s="29" t="s">
        <v>189</v>
      </c>
      <c r="S31" s="19">
        <f>SUM(S32:S35)</f>
        <v>0</v>
      </c>
      <c r="T31" s="19">
        <f>SUM(T32:T35)</f>
        <v>0</v>
      </c>
      <c r="U31" s="44">
        <v>0</v>
      </c>
      <c r="V31" s="19">
        <f>SUM(V32:V35)</f>
        <v>0</v>
      </c>
      <c r="W31" s="19">
        <f>SUM(W32:W35)</f>
        <v>0</v>
      </c>
      <c r="X31" s="44">
        <v>0</v>
      </c>
      <c r="Y31" s="19">
        <f>SUM(Y32:Y35)</f>
        <v>0</v>
      </c>
      <c r="Z31" s="19">
        <f>SUM(Z32:Z35)</f>
        <v>0</v>
      </c>
      <c r="AA31" s="44">
        <v>0</v>
      </c>
      <c r="AB31" s="19">
        <f>SUM(AB32:AB35)</f>
        <v>0</v>
      </c>
      <c r="AC31" s="19">
        <f>SUM(AC32:AC35)</f>
        <v>0</v>
      </c>
      <c r="AD31" s="44">
        <v>0</v>
      </c>
      <c r="AE31" s="19">
        <f t="shared" si="0"/>
        <v>0</v>
      </c>
      <c r="AF31" s="19">
        <f t="shared" si="1"/>
        <v>0</v>
      </c>
      <c r="AG31" s="19">
        <f t="shared" si="2"/>
        <v>0</v>
      </c>
    </row>
    <row r="32" spans="1:33" ht="51.75" thickBot="1" x14ac:dyDescent="0.3">
      <c r="A32" s="29" t="s">
        <v>153</v>
      </c>
      <c r="B32" s="19">
        <f>SUM(B33:B35)</f>
        <v>0</v>
      </c>
      <c r="C32" s="19">
        <f>SUM(C33:C35)</f>
        <v>0</v>
      </c>
      <c r="D32" s="44">
        <v>0</v>
      </c>
      <c r="E32" s="19">
        <f>SUM(E33:E35)</f>
        <v>0</v>
      </c>
      <c r="F32" s="19">
        <f>SUM(F33:F35)</f>
        <v>0</v>
      </c>
      <c r="G32" s="44">
        <v>0</v>
      </c>
      <c r="H32" s="19">
        <f>SUM(H33:H35)</f>
        <v>0</v>
      </c>
      <c r="I32" s="19">
        <f>SUM(I33:I35)</f>
        <v>0</v>
      </c>
      <c r="J32" s="44">
        <v>0</v>
      </c>
      <c r="K32" s="19">
        <f>SUM(K33:K35)</f>
        <v>0</v>
      </c>
      <c r="L32" s="19">
        <f>SUM(L33:L35)</f>
        <v>0</v>
      </c>
      <c r="M32" s="44">
        <v>0</v>
      </c>
      <c r="N32" s="19">
        <f t="shared" si="6"/>
        <v>0</v>
      </c>
      <c r="O32" s="19">
        <f t="shared" si="7"/>
        <v>0</v>
      </c>
      <c r="P32" s="19">
        <f t="shared" si="8"/>
        <v>0</v>
      </c>
      <c r="R32" s="32" t="s">
        <v>190</v>
      </c>
      <c r="S32" s="5">
        <v>0</v>
      </c>
      <c r="T32" s="5">
        <v>0</v>
      </c>
      <c r="U32" s="44">
        <v>0</v>
      </c>
      <c r="V32" s="5">
        <v>0</v>
      </c>
      <c r="W32" s="5">
        <v>0</v>
      </c>
      <c r="X32" s="44">
        <v>0</v>
      </c>
      <c r="Y32" s="5">
        <v>0</v>
      </c>
      <c r="Z32" s="5">
        <v>0</v>
      </c>
      <c r="AA32" s="44">
        <v>0</v>
      </c>
      <c r="AB32" s="5">
        <v>0</v>
      </c>
      <c r="AC32" s="5">
        <v>0</v>
      </c>
      <c r="AD32" s="44">
        <v>0</v>
      </c>
      <c r="AE32" s="16">
        <f t="shared" si="0"/>
        <v>0</v>
      </c>
      <c r="AF32" s="16">
        <f t="shared" si="1"/>
        <v>0</v>
      </c>
      <c r="AG32" s="16">
        <f t="shared" si="2"/>
        <v>0</v>
      </c>
    </row>
    <row r="33" spans="1:33" ht="90" thickBot="1" x14ac:dyDescent="0.3">
      <c r="A33" s="32" t="s">
        <v>154</v>
      </c>
      <c r="B33" s="5">
        <v>0</v>
      </c>
      <c r="C33" s="5">
        <v>0</v>
      </c>
      <c r="D33" s="44">
        <v>0</v>
      </c>
      <c r="E33" s="5">
        <v>0</v>
      </c>
      <c r="F33" s="5">
        <v>0</v>
      </c>
      <c r="G33" s="44">
        <v>0</v>
      </c>
      <c r="H33" s="5">
        <v>0</v>
      </c>
      <c r="I33" s="5">
        <v>0</v>
      </c>
      <c r="J33" s="44">
        <v>0</v>
      </c>
      <c r="K33" s="5">
        <v>0</v>
      </c>
      <c r="L33" s="5">
        <v>0</v>
      </c>
      <c r="M33" s="44">
        <v>0</v>
      </c>
      <c r="N33" s="16">
        <f t="shared" si="6"/>
        <v>0</v>
      </c>
      <c r="O33" s="16">
        <f t="shared" si="7"/>
        <v>0</v>
      </c>
      <c r="P33" s="16">
        <f t="shared" si="8"/>
        <v>0</v>
      </c>
      <c r="R33" s="32" t="s">
        <v>191</v>
      </c>
      <c r="S33" s="5">
        <v>0</v>
      </c>
      <c r="T33" s="5">
        <v>0</v>
      </c>
      <c r="U33" s="44">
        <v>0</v>
      </c>
      <c r="V33" s="5">
        <v>0</v>
      </c>
      <c r="W33" s="5">
        <v>0</v>
      </c>
      <c r="X33" s="44">
        <v>0</v>
      </c>
      <c r="Y33" s="5">
        <v>0</v>
      </c>
      <c r="Z33" s="5">
        <v>0</v>
      </c>
      <c r="AA33" s="44">
        <v>0</v>
      </c>
      <c r="AB33" s="5">
        <v>0</v>
      </c>
      <c r="AC33" s="5">
        <v>0</v>
      </c>
      <c r="AD33" s="44">
        <v>0</v>
      </c>
      <c r="AE33" s="16">
        <f t="shared" si="0"/>
        <v>0</v>
      </c>
      <c r="AF33" s="16">
        <f t="shared" si="1"/>
        <v>0</v>
      </c>
      <c r="AG33" s="16">
        <f t="shared" si="2"/>
        <v>0</v>
      </c>
    </row>
    <row r="34" spans="1:33" ht="102.75" thickBot="1" x14ac:dyDescent="0.3">
      <c r="A34" s="32" t="s">
        <v>155</v>
      </c>
      <c r="B34" s="5">
        <v>0</v>
      </c>
      <c r="C34" s="5">
        <v>0</v>
      </c>
      <c r="D34" s="44">
        <v>0</v>
      </c>
      <c r="E34" s="5">
        <v>0</v>
      </c>
      <c r="F34" s="5">
        <v>0</v>
      </c>
      <c r="G34" s="44">
        <v>0</v>
      </c>
      <c r="H34" s="5">
        <v>0</v>
      </c>
      <c r="I34" s="5">
        <v>0</v>
      </c>
      <c r="J34" s="44">
        <v>0</v>
      </c>
      <c r="K34" s="5">
        <v>0</v>
      </c>
      <c r="L34" s="5">
        <v>0</v>
      </c>
      <c r="M34" s="44">
        <v>0</v>
      </c>
      <c r="N34" s="16">
        <f t="shared" si="6"/>
        <v>0</v>
      </c>
      <c r="O34" s="16">
        <f t="shared" si="7"/>
        <v>0</v>
      </c>
      <c r="P34" s="16">
        <f t="shared" si="8"/>
        <v>0</v>
      </c>
      <c r="R34" s="32" t="s">
        <v>192</v>
      </c>
      <c r="S34" s="5">
        <v>0</v>
      </c>
      <c r="T34" s="5">
        <v>0</v>
      </c>
      <c r="U34" s="44">
        <v>0</v>
      </c>
      <c r="V34" s="5">
        <v>0</v>
      </c>
      <c r="W34" s="5">
        <v>0</v>
      </c>
      <c r="X34" s="44">
        <v>0</v>
      </c>
      <c r="Y34" s="5">
        <v>0</v>
      </c>
      <c r="Z34" s="5">
        <v>0</v>
      </c>
      <c r="AA34" s="44">
        <v>0</v>
      </c>
      <c r="AB34" s="5">
        <v>0</v>
      </c>
      <c r="AC34" s="5">
        <v>0</v>
      </c>
      <c r="AD34" s="44">
        <v>0</v>
      </c>
      <c r="AE34" s="16">
        <f t="shared" si="0"/>
        <v>0</v>
      </c>
      <c r="AF34" s="16">
        <f t="shared" si="1"/>
        <v>0</v>
      </c>
      <c r="AG34" s="16">
        <f t="shared" si="2"/>
        <v>0</v>
      </c>
    </row>
    <row r="35" spans="1:33" ht="39" thickBot="1" x14ac:dyDescent="0.3">
      <c r="A35" s="32" t="s">
        <v>156</v>
      </c>
      <c r="B35" s="5">
        <v>0</v>
      </c>
      <c r="C35" s="5">
        <v>0</v>
      </c>
      <c r="D35" s="44">
        <v>0</v>
      </c>
      <c r="E35" s="5">
        <v>0</v>
      </c>
      <c r="F35" s="5">
        <v>0</v>
      </c>
      <c r="G35" s="44">
        <v>0</v>
      </c>
      <c r="H35" s="5">
        <v>0</v>
      </c>
      <c r="I35" s="5">
        <v>0</v>
      </c>
      <c r="J35" s="44">
        <v>0</v>
      </c>
      <c r="K35" s="5">
        <v>0</v>
      </c>
      <c r="L35" s="5">
        <v>0</v>
      </c>
      <c r="M35" s="44">
        <v>0</v>
      </c>
      <c r="N35" s="16">
        <f t="shared" si="6"/>
        <v>0</v>
      </c>
      <c r="O35" s="16">
        <f t="shared" si="7"/>
        <v>0</v>
      </c>
      <c r="P35" s="16">
        <f t="shared" si="8"/>
        <v>0</v>
      </c>
      <c r="R35" s="32" t="s">
        <v>193</v>
      </c>
      <c r="S35" s="5">
        <v>0</v>
      </c>
      <c r="T35" s="5">
        <v>0</v>
      </c>
      <c r="U35" s="44">
        <v>0</v>
      </c>
      <c r="V35" s="5">
        <v>0</v>
      </c>
      <c r="W35" s="5">
        <v>0</v>
      </c>
      <c r="X35" s="44">
        <v>0</v>
      </c>
      <c r="Y35" s="5">
        <v>0</v>
      </c>
      <c r="Z35" s="5">
        <v>0</v>
      </c>
      <c r="AA35" s="44">
        <v>0</v>
      </c>
      <c r="AB35" s="5">
        <v>0</v>
      </c>
      <c r="AC35" s="5">
        <v>0</v>
      </c>
      <c r="AD35" s="44">
        <v>0</v>
      </c>
      <c r="AE35" s="16">
        <f t="shared" si="0"/>
        <v>0</v>
      </c>
      <c r="AF35" s="16">
        <f t="shared" si="1"/>
        <v>0</v>
      </c>
      <c r="AG35" s="16">
        <f t="shared" si="2"/>
        <v>0</v>
      </c>
    </row>
    <row r="36" spans="1:33" ht="26.25" thickBot="1" x14ac:dyDescent="0.3">
      <c r="A36" s="29" t="s">
        <v>157</v>
      </c>
      <c r="B36" s="19">
        <f>SUM(B37)</f>
        <v>0</v>
      </c>
      <c r="C36" s="19">
        <f>SUM(C37)</f>
        <v>0</v>
      </c>
      <c r="D36" s="44">
        <v>0</v>
      </c>
      <c r="E36" s="19">
        <f>SUM(E37)</f>
        <v>0</v>
      </c>
      <c r="F36" s="19">
        <f>SUM(F37)</f>
        <v>0</v>
      </c>
      <c r="G36" s="44">
        <v>0</v>
      </c>
      <c r="H36" s="19">
        <f>SUM(H37)</f>
        <v>0</v>
      </c>
      <c r="I36" s="19">
        <f>SUM(I37)</f>
        <v>0</v>
      </c>
      <c r="J36" s="44">
        <v>0</v>
      </c>
      <c r="K36" s="19">
        <f>SUM(K37)</f>
        <v>0</v>
      </c>
      <c r="L36" s="19">
        <f>SUM(L37)</f>
        <v>0</v>
      </c>
      <c r="M36" s="44">
        <v>0</v>
      </c>
      <c r="N36" s="19">
        <f t="shared" si="6"/>
        <v>0</v>
      </c>
      <c r="O36" s="19">
        <f t="shared" si="7"/>
        <v>0</v>
      </c>
      <c r="P36" s="19">
        <f t="shared" si="8"/>
        <v>0</v>
      </c>
      <c r="R36" s="29" t="s">
        <v>194</v>
      </c>
      <c r="S36" s="19">
        <f>SUM(S37:S42)</f>
        <v>9</v>
      </c>
      <c r="T36" s="19">
        <f>SUM(T37:T42)</f>
        <v>0</v>
      </c>
      <c r="U36" s="44">
        <f t="shared" si="16"/>
        <v>-1</v>
      </c>
      <c r="V36" s="19">
        <f>SUM(V37:V42)</f>
        <v>9</v>
      </c>
      <c r="W36" s="19">
        <f>SUM(W37:W42)</f>
        <v>0</v>
      </c>
      <c r="X36" s="44">
        <f t="shared" si="17"/>
        <v>-1</v>
      </c>
      <c r="Y36" s="19">
        <f>SUM(Y37:Y42)</f>
        <v>55279</v>
      </c>
      <c r="Z36" s="19">
        <f>SUM(Z37:Z42)</f>
        <v>0</v>
      </c>
      <c r="AA36" s="44">
        <f t="shared" si="14"/>
        <v>-1</v>
      </c>
      <c r="AB36" s="19">
        <f>SUM(AB37:AB42)</f>
        <v>381</v>
      </c>
      <c r="AC36" s="19">
        <f>SUM(AC37:AC42)</f>
        <v>0</v>
      </c>
      <c r="AD36" s="44">
        <f t="shared" ref="AD36:AD44" si="18">(AC36-AB36)/AB36</f>
        <v>-1</v>
      </c>
      <c r="AE36" s="19">
        <f t="shared" si="0"/>
        <v>-9</v>
      </c>
      <c r="AF36" s="19">
        <f t="shared" si="1"/>
        <v>-9</v>
      </c>
      <c r="AG36" s="19">
        <f t="shared" si="2"/>
        <v>-381</v>
      </c>
    </row>
    <row r="37" spans="1:33" ht="64.5" thickBot="1" x14ac:dyDescent="0.3">
      <c r="A37" s="32" t="s">
        <v>158</v>
      </c>
      <c r="B37" s="5">
        <v>0</v>
      </c>
      <c r="C37" s="5">
        <v>0</v>
      </c>
      <c r="D37" s="44">
        <v>0</v>
      </c>
      <c r="E37" s="5">
        <v>0</v>
      </c>
      <c r="F37" s="5">
        <v>0</v>
      </c>
      <c r="G37" s="44">
        <v>0</v>
      </c>
      <c r="H37" s="5">
        <v>0</v>
      </c>
      <c r="I37" s="5">
        <v>0</v>
      </c>
      <c r="J37" s="44">
        <v>0</v>
      </c>
      <c r="K37" s="5">
        <v>0</v>
      </c>
      <c r="L37" s="5">
        <v>0</v>
      </c>
      <c r="M37" s="44">
        <v>0</v>
      </c>
      <c r="N37" s="16">
        <f t="shared" si="6"/>
        <v>0</v>
      </c>
      <c r="O37" s="16">
        <f t="shared" si="7"/>
        <v>0</v>
      </c>
      <c r="P37" s="16">
        <f t="shared" si="8"/>
        <v>0</v>
      </c>
      <c r="R37" s="32" t="s">
        <v>200</v>
      </c>
      <c r="S37" s="5">
        <v>9</v>
      </c>
      <c r="T37" s="5">
        <v>0</v>
      </c>
      <c r="U37" s="44">
        <f t="shared" si="16"/>
        <v>-1</v>
      </c>
      <c r="V37" s="5">
        <v>9</v>
      </c>
      <c r="W37" s="5">
        <v>0</v>
      </c>
      <c r="X37" s="44">
        <f t="shared" si="17"/>
        <v>-1</v>
      </c>
      <c r="Y37" s="5">
        <v>55279</v>
      </c>
      <c r="Z37" s="5">
        <v>0</v>
      </c>
      <c r="AA37" s="44">
        <f t="shared" si="14"/>
        <v>-1</v>
      </c>
      <c r="AB37" s="5">
        <v>381</v>
      </c>
      <c r="AC37" s="5">
        <v>0</v>
      </c>
      <c r="AD37" s="44">
        <f t="shared" si="18"/>
        <v>-1</v>
      </c>
      <c r="AE37" s="16">
        <f t="shared" si="0"/>
        <v>-9</v>
      </c>
      <c r="AF37" s="16">
        <f t="shared" si="1"/>
        <v>-9</v>
      </c>
      <c r="AG37" s="16">
        <f t="shared" si="2"/>
        <v>-381</v>
      </c>
    </row>
    <row r="38" spans="1:33" ht="15.75" thickBot="1" x14ac:dyDescent="0.3">
      <c r="A38" s="29" t="s">
        <v>159</v>
      </c>
      <c r="B38" s="19">
        <f>SUM(B39)</f>
        <v>0</v>
      </c>
      <c r="C38" s="19">
        <f>SUM(C39)</f>
        <v>0</v>
      </c>
      <c r="D38" s="44">
        <v>0</v>
      </c>
      <c r="E38" s="19">
        <f>SUM(E39)</f>
        <v>0</v>
      </c>
      <c r="F38" s="19">
        <f>SUM(F39)</f>
        <v>0</v>
      </c>
      <c r="G38" s="44">
        <v>0</v>
      </c>
      <c r="H38" s="19">
        <f>SUM(H39)</f>
        <v>0</v>
      </c>
      <c r="I38" s="19">
        <f>SUM(I39)</f>
        <v>0</v>
      </c>
      <c r="J38" s="44">
        <v>0</v>
      </c>
      <c r="K38" s="19">
        <f>SUM(K39)</f>
        <v>0</v>
      </c>
      <c r="L38" s="19">
        <f>SUM(L39)</f>
        <v>0</v>
      </c>
      <c r="M38" s="44">
        <v>0</v>
      </c>
      <c r="N38" s="19">
        <f t="shared" si="6"/>
        <v>0</v>
      </c>
      <c r="O38" s="19">
        <f t="shared" si="7"/>
        <v>0</v>
      </c>
      <c r="P38" s="19">
        <f t="shared" si="8"/>
        <v>0</v>
      </c>
      <c r="R38" s="32" t="s">
        <v>195</v>
      </c>
      <c r="S38" s="5">
        <v>0</v>
      </c>
      <c r="T38" s="5">
        <v>0</v>
      </c>
      <c r="U38" s="44">
        <v>0</v>
      </c>
      <c r="V38" s="5">
        <v>0</v>
      </c>
      <c r="W38" s="5">
        <v>0</v>
      </c>
      <c r="X38" s="44">
        <v>0</v>
      </c>
      <c r="Y38" s="5">
        <v>0</v>
      </c>
      <c r="Z38" s="5">
        <v>0</v>
      </c>
      <c r="AA38" s="44">
        <v>0</v>
      </c>
      <c r="AB38" s="5">
        <v>0</v>
      </c>
      <c r="AC38" s="5">
        <v>0</v>
      </c>
      <c r="AD38" s="44">
        <v>0</v>
      </c>
      <c r="AE38" s="16">
        <f t="shared" si="0"/>
        <v>0</v>
      </c>
      <c r="AF38" s="16">
        <f t="shared" si="1"/>
        <v>0</v>
      </c>
      <c r="AG38" s="16">
        <f t="shared" si="2"/>
        <v>0</v>
      </c>
    </row>
    <row r="39" spans="1:33" ht="15.75" thickBot="1" x14ac:dyDescent="0.3">
      <c r="A39" s="32" t="s">
        <v>160</v>
      </c>
      <c r="B39" s="5">
        <v>0</v>
      </c>
      <c r="C39" s="5">
        <v>0</v>
      </c>
      <c r="D39" s="44">
        <v>0</v>
      </c>
      <c r="E39" s="5">
        <v>0</v>
      </c>
      <c r="F39" s="5">
        <v>0</v>
      </c>
      <c r="G39" s="44">
        <v>0</v>
      </c>
      <c r="H39" s="5">
        <v>0</v>
      </c>
      <c r="I39" s="5">
        <v>0</v>
      </c>
      <c r="J39" s="44">
        <v>0</v>
      </c>
      <c r="K39" s="5">
        <v>0</v>
      </c>
      <c r="L39" s="5">
        <v>0</v>
      </c>
      <c r="M39" s="44">
        <v>0</v>
      </c>
      <c r="N39" s="16">
        <f t="shared" si="6"/>
        <v>0</v>
      </c>
      <c r="O39" s="16">
        <f t="shared" si="7"/>
        <v>0</v>
      </c>
      <c r="P39" s="16">
        <f t="shared" si="8"/>
        <v>0</v>
      </c>
      <c r="R39" s="32" t="s">
        <v>196</v>
      </c>
      <c r="S39" s="5">
        <v>0</v>
      </c>
      <c r="T39" s="5">
        <v>0</v>
      </c>
      <c r="U39" s="44">
        <v>-1</v>
      </c>
      <c r="V39" s="5">
        <v>0</v>
      </c>
      <c r="W39" s="5">
        <v>0</v>
      </c>
      <c r="X39" s="44">
        <v>0</v>
      </c>
      <c r="Y39" s="5">
        <v>0</v>
      </c>
      <c r="Z39" s="5">
        <v>0</v>
      </c>
      <c r="AA39" s="44">
        <v>0</v>
      </c>
      <c r="AB39" s="5">
        <v>0</v>
      </c>
      <c r="AC39" s="5">
        <v>0</v>
      </c>
      <c r="AD39" s="44">
        <v>-1</v>
      </c>
      <c r="AE39" s="16">
        <f t="shared" si="0"/>
        <v>0</v>
      </c>
      <c r="AF39" s="16">
        <f t="shared" si="1"/>
        <v>0</v>
      </c>
      <c r="AG39" s="16">
        <f t="shared" si="2"/>
        <v>0</v>
      </c>
    </row>
    <row r="40" spans="1:33" ht="15.75" thickBot="1" x14ac:dyDescent="0.3">
      <c r="A40" s="30" t="s">
        <v>13</v>
      </c>
      <c r="B40" s="34">
        <f>SUM(B5,B14,B22,B26,B30,B32,B36,B38)</f>
        <v>164</v>
      </c>
      <c r="C40" s="34">
        <f>SUM(C5,C14,C22,C26,C30,C32,C36,C38)</f>
        <v>0</v>
      </c>
      <c r="D40" s="44">
        <f>(C40-B40)/B40</f>
        <v>-1</v>
      </c>
      <c r="E40" s="34">
        <f>SUM(E5,E14,E22,E26,E30,E32,E36,E38)</f>
        <v>181</v>
      </c>
      <c r="F40" s="34">
        <f>SUM(F5,F14,F22,F26,F30,F32,F36,F38)</f>
        <v>0</v>
      </c>
      <c r="G40" s="44">
        <f>(F40-E40)/E40</f>
        <v>-1</v>
      </c>
      <c r="H40" s="34">
        <f>SUM(H5,H14,H22,H26,H30,H32,H36,H38)</f>
        <v>100912</v>
      </c>
      <c r="I40" s="34">
        <f>SUM(I5,I14,I22,I26,I30,I32,I36,I38)</f>
        <v>0</v>
      </c>
      <c r="J40" s="44">
        <f>(I40-H40)/H40</f>
        <v>-1</v>
      </c>
      <c r="K40" s="34">
        <f>SUM(K5,K14,K22,K26,K30,K32,K36,K38)</f>
        <v>400</v>
      </c>
      <c r="L40" s="34">
        <f>SUM(L5,L14,L22,L26,L30,L32,L36,L38)</f>
        <v>0</v>
      </c>
      <c r="M40" s="44">
        <f>(L40-K40)/K40</f>
        <v>-1</v>
      </c>
      <c r="N40" s="34">
        <f t="shared" si="6"/>
        <v>-164</v>
      </c>
      <c r="O40" s="34">
        <f t="shared" si="7"/>
        <v>-181</v>
      </c>
      <c r="P40" s="40">
        <f t="shared" si="8"/>
        <v>-400</v>
      </c>
      <c r="R40" s="32" t="s">
        <v>197</v>
      </c>
      <c r="S40" s="5">
        <v>0</v>
      </c>
      <c r="T40" s="5">
        <v>0</v>
      </c>
      <c r="U40" s="44">
        <v>0</v>
      </c>
      <c r="V40" s="5">
        <v>0</v>
      </c>
      <c r="W40" s="5">
        <v>0</v>
      </c>
      <c r="X40" s="44">
        <v>0</v>
      </c>
      <c r="Y40" s="5">
        <v>0</v>
      </c>
      <c r="Z40" s="5">
        <v>0</v>
      </c>
      <c r="AA40" s="44">
        <v>0</v>
      </c>
      <c r="AB40" s="5">
        <v>0</v>
      </c>
      <c r="AC40" s="5">
        <v>0</v>
      </c>
      <c r="AD40" s="44">
        <v>0</v>
      </c>
      <c r="AE40" s="16">
        <f t="shared" si="0"/>
        <v>0</v>
      </c>
      <c r="AF40" s="16">
        <f t="shared" si="1"/>
        <v>0</v>
      </c>
      <c r="AG40" s="16">
        <f t="shared" si="2"/>
        <v>0</v>
      </c>
    </row>
    <row r="41" spans="1:33" ht="15.75" thickBot="1" x14ac:dyDescent="0.3">
      <c r="R41" s="32" t="s">
        <v>198</v>
      </c>
      <c r="S41" s="5">
        <v>0</v>
      </c>
      <c r="T41" s="5">
        <v>0</v>
      </c>
      <c r="U41" s="44">
        <v>0</v>
      </c>
      <c r="V41" s="5">
        <v>0</v>
      </c>
      <c r="W41" s="5">
        <v>0</v>
      </c>
      <c r="X41" s="44">
        <v>0</v>
      </c>
      <c r="Y41" s="5">
        <v>0</v>
      </c>
      <c r="Z41" s="5">
        <v>0</v>
      </c>
      <c r="AA41" s="44">
        <v>0</v>
      </c>
      <c r="AB41" s="5">
        <v>0</v>
      </c>
      <c r="AC41" s="5">
        <v>0</v>
      </c>
      <c r="AD41" s="44">
        <v>0</v>
      </c>
      <c r="AE41" s="16">
        <f t="shared" si="0"/>
        <v>0</v>
      </c>
      <c r="AF41" s="16">
        <f t="shared" si="1"/>
        <v>0</v>
      </c>
      <c r="AG41" s="16">
        <f t="shared" si="2"/>
        <v>0</v>
      </c>
    </row>
    <row r="42" spans="1:33" ht="15.75" thickBot="1" x14ac:dyDescent="0.3">
      <c r="R42" s="32" t="s">
        <v>199</v>
      </c>
      <c r="S42" s="5">
        <v>0</v>
      </c>
      <c r="T42" s="5">
        <v>0</v>
      </c>
      <c r="U42" s="44">
        <v>0</v>
      </c>
      <c r="V42" s="5">
        <v>0</v>
      </c>
      <c r="W42" s="5">
        <v>0</v>
      </c>
      <c r="X42" s="44">
        <v>0</v>
      </c>
      <c r="Y42" s="5">
        <v>0</v>
      </c>
      <c r="Z42" s="5">
        <v>0</v>
      </c>
      <c r="AA42" s="44">
        <v>0</v>
      </c>
      <c r="AB42" s="5">
        <v>0</v>
      </c>
      <c r="AC42" s="5">
        <v>0</v>
      </c>
      <c r="AD42" s="44">
        <v>0</v>
      </c>
      <c r="AE42" s="16">
        <f t="shared" si="0"/>
        <v>0</v>
      </c>
      <c r="AF42" s="16">
        <f t="shared" si="1"/>
        <v>0</v>
      </c>
      <c r="AG42" s="16">
        <f t="shared" si="2"/>
        <v>0</v>
      </c>
    </row>
    <row r="43" spans="1:33" ht="15.75" thickBot="1" x14ac:dyDescent="0.3">
      <c r="R43" s="29" t="s">
        <v>201</v>
      </c>
      <c r="S43" s="19">
        <f>SUM(S44:S45)</f>
        <v>9</v>
      </c>
      <c r="T43" s="19">
        <f>SUM(T44:T45)</f>
        <v>0</v>
      </c>
      <c r="U43" s="44">
        <f t="shared" si="16"/>
        <v>-1</v>
      </c>
      <c r="V43" s="19">
        <f>SUM(V44:V45)</f>
        <v>1</v>
      </c>
      <c r="W43" s="19">
        <f>SUM(W44:W45)</f>
        <v>0</v>
      </c>
      <c r="X43" s="44">
        <f t="shared" si="17"/>
        <v>-1</v>
      </c>
      <c r="Y43" s="19">
        <f>SUM(Y44:Y45)</f>
        <v>250</v>
      </c>
      <c r="Z43" s="19">
        <f>SUM(Z44:Z45)</f>
        <v>0</v>
      </c>
      <c r="AA43" s="44">
        <f t="shared" si="14"/>
        <v>-1</v>
      </c>
      <c r="AB43" s="19">
        <f>SUM(AB44:AB45)</f>
        <v>6</v>
      </c>
      <c r="AC43" s="19">
        <f>SUM(AC44:AC45)</f>
        <v>0</v>
      </c>
      <c r="AD43" s="44">
        <f t="shared" si="18"/>
        <v>-1</v>
      </c>
      <c r="AE43" s="19">
        <f t="shared" si="0"/>
        <v>-9</v>
      </c>
      <c r="AF43" s="19">
        <f t="shared" si="1"/>
        <v>-1</v>
      </c>
      <c r="AG43" s="19">
        <f t="shared" si="2"/>
        <v>-6</v>
      </c>
    </row>
    <row r="44" spans="1:33" ht="26.25" thickBot="1" x14ac:dyDescent="0.3">
      <c r="R44" s="32" t="s">
        <v>203</v>
      </c>
      <c r="S44" s="5">
        <v>9</v>
      </c>
      <c r="T44" s="5">
        <v>0</v>
      </c>
      <c r="U44" s="44">
        <f t="shared" si="16"/>
        <v>-1</v>
      </c>
      <c r="V44" s="5">
        <v>1</v>
      </c>
      <c r="W44" s="5">
        <v>0</v>
      </c>
      <c r="X44" s="44">
        <f t="shared" si="17"/>
        <v>-1</v>
      </c>
      <c r="Y44" s="5">
        <v>250</v>
      </c>
      <c r="Z44" s="5">
        <v>0</v>
      </c>
      <c r="AA44" s="44">
        <f t="shared" si="14"/>
        <v>-1</v>
      </c>
      <c r="AB44" s="5">
        <v>6</v>
      </c>
      <c r="AC44" s="5">
        <v>0</v>
      </c>
      <c r="AD44" s="44">
        <f t="shared" si="18"/>
        <v>-1</v>
      </c>
      <c r="AE44" s="16">
        <f t="shared" si="0"/>
        <v>-9</v>
      </c>
      <c r="AF44" s="16">
        <f t="shared" si="1"/>
        <v>-1</v>
      </c>
      <c r="AG44" s="16">
        <f t="shared" si="2"/>
        <v>-6</v>
      </c>
    </row>
    <row r="45" spans="1:33" ht="15.75" thickBot="1" x14ac:dyDescent="0.3">
      <c r="R45" s="32" t="s">
        <v>202</v>
      </c>
      <c r="S45" s="5">
        <v>0</v>
      </c>
      <c r="T45" s="5">
        <v>0</v>
      </c>
      <c r="U45" s="44">
        <v>0</v>
      </c>
      <c r="V45" s="5">
        <v>0</v>
      </c>
      <c r="W45" s="5">
        <v>0</v>
      </c>
      <c r="X45" s="44">
        <v>0</v>
      </c>
      <c r="Y45" s="5">
        <v>0</v>
      </c>
      <c r="Z45" s="5">
        <v>0</v>
      </c>
      <c r="AA45" s="44">
        <v>0</v>
      </c>
      <c r="AB45" s="5">
        <v>0</v>
      </c>
      <c r="AC45" s="5">
        <v>0</v>
      </c>
      <c r="AD45" s="44">
        <v>0</v>
      </c>
      <c r="AE45" s="16">
        <f t="shared" si="0"/>
        <v>0</v>
      </c>
      <c r="AF45" s="16">
        <f t="shared" si="1"/>
        <v>0</v>
      </c>
      <c r="AG45" s="16">
        <f t="shared" si="2"/>
        <v>0</v>
      </c>
    </row>
    <row r="46" spans="1:33" ht="15.75" thickBot="1" x14ac:dyDescent="0.3">
      <c r="R46" s="29" t="s">
        <v>204</v>
      </c>
      <c r="S46" s="19">
        <f>SUM(S47:S50)</f>
        <v>0</v>
      </c>
      <c r="T46" s="19">
        <f>SUM(T47:T50)</f>
        <v>0</v>
      </c>
      <c r="U46" s="44">
        <v>0</v>
      </c>
      <c r="V46" s="19">
        <f>SUM(V47:V50)</f>
        <v>0</v>
      </c>
      <c r="W46" s="19">
        <f>SUM(W47:W50)</f>
        <v>0</v>
      </c>
      <c r="X46" s="44">
        <v>0</v>
      </c>
      <c r="Y46" s="19">
        <f>SUM(Y47:Y50)</f>
        <v>0</v>
      </c>
      <c r="Z46" s="19">
        <f>SUM(Z47:Z50)</f>
        <v>0</v>
      </c>
      <c r="AA46" s="44">
        <v>0</v>
      </c>
      <c r="AB46" s="19">
        <f>SUM(AB47:AB50)</f>
        <v>0</v>
      </c>
      <c r="AC46" s="19">
        <f>SUM(AC47:AC50)</f>
        <v>0</v>
      </c>
      <c r="AD46" s="44">
        <v>0</v>
      </c>
      <c r="AE46" s="19">
        <f t="shared" si="0"/>
        <v>0</v>
      </c>
      <c r="AF46" s="19">
        <f t="shared" si="1"/>
        <v>0</v>
      </c>
      <c r="AG46" s="19">
        <f t="shared" si="2"/>
        <v>0</v>
      </c>
    </row>
    <row r="47" spans="1:33" ht="26.25" thickBot="1" x14ac:dyDescent="0.3">
      <c r="R47" s="32" t="s">
        <v>205</v>
      </c>
      <c r="S47" s="5">
        <v>0</v>
      </c>
      <c r="T47" s="5">
        <v>0</v>
      </c>
      <c r="U47" s="44">
        <v>0</v>
      </c>
      <c r="V47" s="5">
        <v>0</v>
      </c>
      <c r="W47" s="5">
        <v>0</v>
      </c>
      <c r="X47" s="44">
        <v>0</v>
      </c>
      <c r="Y47" s="5">
        <v>0</v>
      </c>
      <c r="Z47" s="5">
        <v>0</v>
      </c>
      <c r="AA47" s="44">
        <v>0</v>
      </c>
      <c r="AB47" s="5">
        <v>0</v>
      </c>
      <c r="AC47" s="5">
        <v>0</v>
      </c>
      <c r="AD47" s="44">
        <v>0</v>
      </c>
      <c r="AE47" s="16">
        <f t="shared" si="0"/>
        <v>0</v>
      </c>
      <c r="AF47" s="16">
        <f t="shared" si="1"/>
        <v>0</v>
      </c>
      <c r="AG47" s="16">
        <f t="shared" si="2"/>
        <v>0</v>
      </c>
    </row>
    <row r="48" spans="1:33" ht="39" thickBot="1" x14ac:dyDescent="0.3">
      <c r="R48" s="32" t="s">
        <v>206</v>
      </c>
      <c r="S48" s="5">
        <v>0</v>
      </c>
      <c r="T48" s="5">
        <v>0</v>
      </c>
      <c r="U48" s="44">
        <v>0</v>
      </c>
      <c r="V48" s="5">
        <v>0</v>
      </c>
      <c r="W48" s="5">
        <v>0</v>
      </c>
      <c r="X48" s="44">
        <v>0</v>
      </c>
      <c r="Y48" s="5">
        <v>0</v>
      </c>
      <c r="Z48" s="5">
        <v>0</v>
      </c>
      <c r="AA48" s="44">
        <v>0</v>
      </c>
      <c r="AB48" s="5">
        <v>0</v>
      </c>
      <c r="AC48" s="5">
        <v>0</v>
      </c>
      <c r="AD48" s="44">
        <v>0</v>
      </c>
      <c r="AE48" s="16">
        <f t="shared" si="0"/>
        <v>0</v>
      </c>
      <c r="AF48" s="16">
        <f t="shared" si="1"/>
        <v>0</v>
      </c>
      <c r="AG48" s="16">
        <f t="shared" si="2"/>
        <v>0</v>
      </c>
    </row>
    <row r="49" spans="18:33" ht="15.75" thickBot="1" x14ac:dyDescent="0.3">
      <c r="R49" s="32" t="s">
        <v>207</v>
      </c>
      <c r="S49" s="5">
        <v>0</v>
      </c>
      <c r="T49" s="5">
        <v>0</v>
      </c>
      <c r="U49" s="44">
        <v>0</v>
      </c>
      <c r="V49" s="5">
        <v>0</v>
      </c>
      <c r="W49" s="5">
        <v>0</v>
      </c>
      <c r="X49" s="44">
        <v>0</v>
      </c>
      <c r="Y49" s="5">
        <v>0</v>
      </c>
      <c r="Z49" s="5">
        <v>0</v>
      </c>
      <c r="AA49" s="44">
        <v>0</v>
      </c>
      <c r="AB49" s="5">
        <v>0</v>
      </c>
      <c r="AC49" s="5">
        <v>0</v>
      </c>
      <c r="AD49" s="44">
        <v>0</v>
      </c>
      <c r="AE49" s="16">
        <f t="shared" si="0"/>
        <v>0</v>
      </c>
      <c r="AF49" s="16">
        <f t="shared" si="1"/>
        <v>0</v>
      </c>
      <c r="AG49" s="16">
        <f t="shared" si="2"/>
        <v>0</v>
      </c>
    </row>
    <row r="50" spans="18:33" ht="15.75" thickBot="1" x14ac:dyDescent="0.3">
      <c r="R50" s="32" t="s">
        <v>208</v>
      </c>
      <c r="S50" s="5">
        <v>0</v>
      </c>
      <c r="T50" s="5">
        <v>0</v>
      </c>
      <c r="U50" s="44">
        <v>0</v>
      </c>
      <c r="V50" s="5">
        <v>0</v>
      </c>
      <c r="W50" s="5">
        <v>0</v>
      </c>
      <c r="X50" s="44">
        <v>0</v>
      </c>
      <c r="Y50" s="5">
        <v>0</v>
      </c>
      <c r="Z50" s="5">
        <v>0</v>
      </c>
      <c r="AA50" s="44">
        <v>0</v>
      </c>
      <c r="AB50" s="5">
        <v>0</v>
      </c>
      <c r="AC50" s="5">
        <v>0</v>
      </c>
      <c r="AD50" s="44">
        <v>0</v>
      </c>
      <c r="AE50" s="16">
        <f t="shared" si="0"/>
        <v>0</v>
      </c>
      <c r="AF50" s="16">
        <f t="shared" si="1"/>
        <v>0</v>
      </c>
      <c r="AG50" s="16">
        <f t="shared" si="2"/>
        <v>0</v>
      </c>
    </row>
    <row r="51" spans="18:33" ht="15.75" thickBot="1" x14ac:dyDescent="0.3">
      <c r="R51" s="34" t="s">
        <v>13</v>
      </c>
      <c r="S51" s="34">
        <f>SUM(S5,S8,S13,S31,S36,S43,S46)</f>
        <v>57</v>
      </c>
      <c r="T51" s="34">
        <f>SUM(T5,T8,T13,T31,T36,T43,T46)</f>
        <v>0</v>
      </c>
      <c r="U51" s="44">
        <f>(T51-S51)/S51</f>
        <v>-1</v>
      </c>
      <c r="V51" s="34">
        <f>SUM(V5,V8,V31,V36,V43,V46)</f>
        <v>10</v>
      </c>
      <c r="W51" s="34">
        <f>SUM(W5,W8,W31,W36,W43,W46)</f>
        <v>0</v>
      </c>
      <c r="X51" s="44">
        <f>(W51-V51)/V51</f>
        <v>-1</v>
      </c>
      <c r="Y51" s="34">
        <f>SUM(Y5,Y8,Y31,Y36,Y43,Y46)</f>
        <v>56408</v>
      </c>
      <c r="Z51" s="34">
        <f>SUM(Z5,Z8,Z31,Z36,Z43,Z46)</f>
        <v>0</v>
      </c>
      <c r="AA51" s="44">
        <f>(Z51-Y51)/Y51</f>
        <v>-1</v>
      </c>
      <c r="AB51" s="34">
        <f>SUM(AB5,AB8,AB31,AB36,AB43,AB46)</f>
        <v>387</v>
      </c>
      <c r="AC51" s="34">
        <f>SUM(AC5,AC8,AC31,AC36,AC43,AC46)</f>
        <v>0</v>
      </c>
      <c r="AD51" s="44">
        <f>(AC51-AB51)/AB51</f>
        <v>-1</v>
      </c>
      <c r="AE51" s="34">
        <f t="shared" si="0"/>
        <v>-57</v>
      </c>
      <c r="AF51" s="34">
        <f t="shared" si="1"/>
        <v>-10</v>
      </c>
      <c r="AG51" s="34">
        <f t="shared" si="2"/>
        <v>-387</v>
      </c>
    </row>
  </sheetData>
  <mergeCells count="39">
    <mergeCell ref="X1:X3"/>
    <mergeCell ref="J1:J3"/>
    <mergeCell ref="K1:L2"/>
    <mergeCell ref="M1:M3"/>
    <mergeCell ref="N1:N3"/>
    <mergeCell ref="O1:O3"/>
    <mergeCell ref="P1:P3"/>
    <mergeCell ref="A4:P4"/>
    <mergeCell ref="R1:R3"/>
    <mergeCell ref="S1:T2"/>
    <mergeCell ref="U1:U3"/>
    <mergeCell ref="V1:W2"/>
    <mergeCell ref="A1:A3"/>
    <mergeCell ref="B1:C2"/>
    <mergeCell ref="D1:D3"/>
    <mergeCell ref="E1:F2"/>
    <mergeCell ref="G1:G3"/>
    <mergeCell ref="H1:I2"/>
    <mergeCell ref="R4:AG4"/>
    <mergeCell ref="AG1:AG3"/>
    <mergeCell ref="Y1:Z2"/>
    <mergeCell ref="AA1:AA3"/>
    <mergeCell ref="AB1:AC2"/>
    <mergeCell ref="AI4:AX4"/>
    <mergeCell ref="AI1:AI3"/>
    <mergeCell ref="AJ1:AK2"/>
    <mergeCell ref="AL1:AL3"/>
    <mergeCell ref="AM1:AN2"/>
    <mergeCell ref="AO1:AO3"/>
    <mergeCell ref="AP1:AQ2"/>
    <mergeCell ref="AR1:AR3"/>
    <mergeCell ref="AV1:AV3"/>
    <mergeCell ref="AW1:AW3"/>
    <mergeCell ref="AX1:AX3"/>
    <mergeCell ref="AD1:AD3"/>
    <mergeCell ref="AE1:AE3"/>
    <mergeCell ref="AF1:AF3"/>
    <mergeCell ref="AS1:AT2"/>
    <mergeCell ref="AU1:AU3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38"/>
  <sheetViews>
    <sheetView topLeftCell="B1" zoomScaleNormal="100" workbookViewId="0">
      <selection activeCell="B227" sqref="B227"/>
    </sheetView>
  </sheetViews>
  <sheetFormatPr defaultRowHeight="15" x14ac:dyDescent="0.25"/>
  <cols>
    <col min="1" max="1" width="19.7109375" customWidth="1"/>
    <col min="2" max="2" width="55.42578125" customWidth="1"/>
    <col min="3" max="4" width="19.5703125" customWidth="1"/>
    <col min="5" max="8" width="13.7109375" customWidth="1"/>
  </cols>
  <sheetData>
    <row r="1" spans="1:8" ht="24.6" customHeight="1" x14ac:dyDescent="0.25">
      <c r="A1" s="233" t="s">
        <v>248</v>
      </c>
      <c r="B1" s="233" t="s">
        <v>303</v>
      </c>
      <c r="C1" s="233" t="s">
        <v>249</v>
      </c>
      <c r="D1" s="233"/>
      <c r="E1" s="233" t="s">
        <v>250</v>
      </c>
      <c r="F1" s="233"/>
      <c r="G1" s="233"/>
      <c r="H1" s="233"/>
    </row>
    <row r="2" spans="1:8" ht="24.6" customHeight="1" x14ac:dyDescent="0.25">
      <c r="A2" s="233"/>
      <c r="B2" s="233"/>
      <c r="C2" s="233"/>
      <c r="D2" s="233"/>
      <c r="E2" s="243" t="s">
        <v>240</v>
      </c>
      <c r="F2" s="243"/>
      <c r="G2" s="243" t="s">
        <v>251</v>
      </c>
      <c r="H2" s="243"/>
    </row>
    <row r="3" spans="1:8" ht="24.6" customHeight="1" x14ac:dyDescent="0.25">
      <c r="A3" s="233"/>
      <c r="B3" s="233"/>
      <c r="C3" s="81" t="s">
        <v>124</v>
      </c>
      <c r="D3" s="81" t="s">
        <v>228</v>
      </c>
      <c r="E3" s="81" t="s">
        <v>124</v>
      </c>
      <c r="F3" s="81" t="s">
        <v>228</v>
      </c>
      <c r="G3" s="81" t="s">
        <v>124</v>
      </c>
      <c r="H3" s="81" t="s">
        <v>228</v>
      </c>
    </row>
    <row r="4" spans="1:8" x14ac:dyDescent="0.25">
      <c r="A4" s="248" t="s">
        <v>113</v>
      </c>
      <c r="B4" s="82" t="s">
        <v>277</v>
      </c>
      <c r="C4" s="82">
        <f>SUM(C5:C29)</f>
        <v>292</v>
      </c>
      <c r="D4" s="82">
        <f t="shared" ref="D4:H4" si="0">SUM(D5:D29)</f>
        <v>0</v>
      </c>
      <c r="E4" s="82">
        <f t="shared" si="0"/>
        <v>44466</v>
      </c>
      <c r="F4" s="82">
        <f t="shared" si="0"/>
        <v>0</v>
      </c>
      <c r="G4" s="82">
        <f t="shared" si="0"/>
        <v>785003</v>
      </c>
      <c r="H4" s="82">
        <f t="shared" si="0"/>
        <v>0</v>
      </c>
    </row>
    <row r="5" spans="1:8" x14ac:dyDescent="0.25">
      <c r="A5" s="248"/>
      <c r="B5" s="83" t="s">
        <v>252</v>
      </c>
      <c r="C5" s="77">
        <v>3</v>
      </c>
      <c r="D5" s="77"/>
      <c r="E5" s="77">
        <v>3</v>
      </c>
      <c r="F5" s="77"/>
      <c r="G5" s="77">
        <v>3</v>
      </c>
      <c r="H5" s="77"/>
    </row>
    <row r="6" spans="1:8" x14ac:dyDescent="0.25">
      <c r="A6" s="248"/>
      <c r="B6" s="83" t="s">
        <v>253</v>
      </c>
      <c r="C6" s="77">
        <v>2</v>
      </c>
      <c r="D6" s="77"/>
      <c r="E6" s="77">
        <v>2</v>
      </c>
      <c r="F6" s="77"/>
      <c r="G6" s="77">
        <v>2</v>
      </c>
      <c r="H6" s="77"/>
    </row>
    <row r="7" spans="1:8" x14ac:dyDescent="0.25">
      <c r="A7" s="248"/>
      <c r="B7" s="83" t="s">
        <v>254</v>
      </c>
      <c r="C7" s="77">
        <v>0</v>
      </c>
      <c r="D7" s="77"/>
      <c r="E7" s="77">
        <v>39745</v>
      </c>
      <c r="F7" s="77"/>
      <c r="G7" s="77">
        <v>784507</v>
      </c>
      <c r="H7" s="77"/>
    </row>
    <row r="8" spans="1:8" x14ac:dyDescent="0.25">
      <c r="A8" s="248"/>
      <c r="B8" s="83" t="s">
        <v>255</v>
      </c>
      <c r="C8" s="77">
        <v>0</v>
      </c>
      <c r="D8" s="77"/>
      <c r="E8" s="77">
        <v>0</v>
      </c>
      <c r="F8" s="77"/>
      <c r="G8" s="77">
        <v>0</v>
      </c>
      <c r="H8" s="77"/>
    </row>
    <row r="9" spans="1:8" x14ac:dyDescent="0.25">
      <c r="A9" s="248"/>
      <c r="B9" s="83" t="s">
        <v>256</v>
      </c>
      <c r="C9" s="77">
        <v>25</v>
      </c>
      <c r="D9" s="77"/>
      <c r="E9" s="77">
        <v>272</v>
      </c>
      <c r="F9" s="77"/>
      <c r="G9" s="77">
        <v>0</v>
      </c>
      <c r="H9" s="77"/>
    </row>
    <row r="10" spans="1:8" x14ac:dyDescent="0.25">
      <c r="A10" s="248"/>
      <c r="B10" s="83" t="s">
        <v>257</v>
      </c>
      <c r="C10" s="77">
        <v>2</v>
      </c>
      <c r="D10" s="77"/>
      <c r="E10" s="77">
        <v>3</v>
      </c>
      <c r="F10" s="77"/>
      <c r="G10" s="77">
        <v>0</v>
      </c>
      <c r="H10" s="77"/>
    </row>
    <row r="11" spans="1:8" x14ac:dyDescent="0.25">
      <c r="A11" s="248"/>
      <c r="B11" s="83" t="s">
        <v>258</v>
      </c>
      <c r="C11" s="77">
        <v>7</v>
      </c>
      <c r="D11" s="77"/>
      <c r="E11" s="77">
        <v>69</v>
      </c>
      <c r="F11" s="77"/>
      <c r="G11" s="77">
        <v>2</v>
      </c>
      <c r="H11" s="77"/>
    </row>
    <row r="12" spans="1:8" x14ac:dyDescent="0.25">
      <c r="A12" s="248"/>
      <c r="B12" s="83" t="s">
        <v>259</v>
      </c>
      <c r="C12" s="77">
        <v>1</v>
      </c>
      <c r="D12" s="77"/>
      <c r="E12" s="77">
        <v>2</v>
      </c>
      <c r="F12" s="77"/>
      <c r="G12" s="77">
        <v>2</v>
      </c>
      <c r="H12" s="77"/>
    </row>
    <row r="13" spans="1:8" x14ac:dyDescent="0.25">
      <c r="A13" s="248"/>
      <c r="B13" s="83" t="s">
        <v>260</v>
      </c>
      <c r="C13" s="77">
        <v>6</v>
      </c>
      <c r="D13" s="77"/>
      <c r="E13" s="77">
        <v>7</v>
      </c>
      <c r="F13" s="77"/>
      <c r="G13" s="77">
        <v>7</v>
      </c>
      <c r="H13" s="77"/>
    </row>
    <row r="14" spans="1:8" x14ac:dyDescent="0.25">
      <c r="A14" s="248"/>
      <c r="B14" s="83" t="s">
        <v>261</v>
      </c>
      <c r="C14" s="77">
        <v>0</v>
      </c>
      <c r="D14" s="77"/>
      <c r="E14" s="77">
        <v>0</v>
      </c>
      <c r="F14" s="77"/>
      <c r="G14" s="77">
        <v>0</v>
      </c>
      <c r="H14" s="77"/>
    </row>
    <row r="15" spans="1:8" x14ac:dyDescent="0.25">
      <c r="A15" s="248"/>
      <c r="B15" s="83" t="s">
        <v>262</v>
      </c>
      <c r="C15" s="77">
        <v>0</v>
      </c>
      <c r="D15" s="77"/>
      <c r="E15" s="77">
        <v>0</v>
      </c>
      <c r="F15" s="77"/>
      <c r="G15" s="77">
        <v>0</v>
      </c>
      <c r="H15" s="77"/>
    </row>
    <row r="16" spans="1:8" x14ac:dyDescent="0.25">
      <c r="A16" s="248"/>
      <c r="B16" s="83" t="s">
        <v>263</v>
      </c>
      <c r="C16" s="77">
        <v>1</v>
      </c>
      <c r="D16" s="77"/>
      <c r="E16" s="77">
        <v>27</v>
      </c>
      <c r="F16" s="77"/>
      <c r="G16" s="77">
        <v>70</v>
      </c>
      <c r="H16" s="77"/>
    </row>
    <row r="17" spans="1:8" x14ac:dyDescent="0.25">
      <c r="A17" s="248"/>
      <c r="B17" s="83" t="s">
        <v>264</v>
      </c>
      <c r="C17" s="77">
        <v>12</v>
      </c>
      <c r="D17" s="77"/>
      <c r="E17" s="77">
        <v>46</v>
      </c>
      <c r="F17" s="77"/>
      <c r="G17" s="77">
        <v>57</v>
      </c>
      <c r="H17" s="77"/>
    </row>
    <row r="18" spans="1:8" x14ac:dyDescent="0.25">
      <c r="A18" s="248"/>
      <c r="B18" s="83" t="s">
        <v>265</v>
      </c>
      <c r="C18" s="77">
        <v>0</v>
      </c>
      <c r="D18" s="77"/>
      <c r="E18" s="77">
        <v>0</v>
      </c>
      <c r="F18" s="77"/>
      <c r="G18" s="77">
        <v>0</v>
      </c>
      <c r="H18" s="77"/>
    </row>
    <row r="19" spans="1:8" x14ac:dyDescent="0.25">
      <c r="A19" s="248"/>
      <c r="B19" s="83" t="s">
        <v>266</v>
      </c>
      <c r="C19" s="77">
        <v>1</v>
      </c>
      <c r="D19" s="77"/>
      <c r="E19" s="77">
        <v>18</v>
      </c>
      <c r="F19" s="77"/>
      <c r="G19" s="77">
        <v>0</v>
      </c>
      <c r="H19" s="77"/>
    </row>
    <row r="20" spans="1:8" x14ac:dyDescent="0.25">
      <c r="A20" s="248"/>
      <c r="B20" s="83" t="s">
        <v>267</v>
      </c>
      <c r="C20" s="77">
        <v>12</v>
      </c>
      <c r="D20" s="77"/>
      <c r="E20" s="77">
        <v>60</v>
      </c>
      <c r="F20" s="77"/>
      <c r="G20" s="77">
        <v>57</v>
      </c>
      <c r="H20" s="77"/>
    </row>
    <row r="21" spans="1:8" x14ac:dyDescent="0.25">
      <c r="A21" s="248"/>
      <c r="B21" s="83" t="s">
        <v>268</v>
      </c>
      <c r="C21" s="77">
        <v>206</v>
      </c>
      <c r="D21" s="77"/>
      <c r="E21" s="77">
        <v>738</v>
      </c>
      <c r="F21" s="77"/>
      <c r="G21" s="77">
        <v>0</v>
      </c>
      <c r="H21" s="77"/>
    </row>
    <row r="22" spans="1:8" x14ac:dyDescent="0.25">
      <c r="A22" s="248"/>
      <c r="B22" s="83" t="s">
        <v>269</v>
      </c>
      <c r="C22" s="77">
        <v>0</v>
      </c>
      <c r="D22" s="77"/>
      <c r="E22" s="77">
        <v>0</v>
      </c>
      <c r="F22" s="77"/>
      <c r="G22" s="77">
        <v>0</v>
      </c>
      <c r="H22" s="77"/>
    </row>
    <row r="23" spans="1:8" x14ac:dyDescent="0.25">
      <c r="A23" s="248"/>
      <c r="B23" s="83" t="s">
        <v>270</v>
      </c>
      <c r="C23" s="77">
        <v>0</v>
      </c>
      <c r="D23" s="77"/>
      <c r="E23" s="77">
        <v>0</v>
      </c>
      <c r="F23" s="77"/>
      <c r="G23" s="77">
        <v>0</v>
      </c>
      <c r="H23" s="77"/>
    </row>
    <row r="24" spans="1:8" x14ac:dyDescent="0.25">
      <c r="A24" s="248"/>
      <c r="B24" s="83" t="s">
        <v>271</v>
      </c>
      <c r="C24" s="77">
        <v>7</v>
      </c>
      <c r="D24" s="77"/>
      <c r="E24" s="77">
        <v>21</v>
      </c>
      <c r="F24" s="77"/>
      <c r="G24" s="77">
        <v>13</v>
      </c>
      <c r="H24" s="77"/>
    </row>
    <row r="25" spans="1:8" x14ac:dyDescent="0.25">
      <c r="A25" s="248"/>
      <c r="B25" s="83" t="s">
        <v>272</v>
      </c>
      <c r="C25" s="77">
        <v>6</v>
      </c>
      <c r="D25" s="77"/>
      <c r="E25" s="77">
        <v>22</v>
      </c>
      <c r="F25" s="77"/>
      <c r="G25" s="77">
        <v>22</v>
      </c>
      <c r="H25" s="77"/>
    </row>
    <row r="26" spans="1:8" x14ac:dyDescent="0.25">
      <c r="A26" s="248"/>
      <c r="B26" s="83" t="s">
        <v>273</v>
      </c>
      <c r="C26" s="77">
        <v>1</v>
      </c>
      <c r="D26" s="77"/>
      <c r="E26" s="77">
        <v>18</v>
      </c>
      <c r="F26" s="77"/>
      <c r="G26" s="77">
        <v>0</v>
      </c>
      <c r="H26" s="77"/>
    </row>
    <row r="27" spans="1:8" x14ac:dyDescent="0.25">
      <c r="A27" s="248"/>
      <c r="B27" s="83" t="s">
        <v>274</v>
      </c>
      <c r="C27" s="77">
        <v>0</v>
      </c>
      <c r="D27" s="77"/>
      <c r="E27" s="77">
        <v>0</v>
      </c>
      <c r="F27" s="77"/>
      <c r="G27" s="77">
        <v>0</v>
      </c>
      <c r="H27" s="77"/>
    </row>
    <row r="28" spans="1:8" x14ac:dyDescent="0.25">
      <c r="A28" s="248"/>
      <c r="B28" s="83" t="s">
        <v>275</v>
      </c>
      <c r="C28" s="77">
        <v>0</v>
      </c>
      <c r="D28" s="77"/>
      <c r="E28" s="77">
        <v>3413</v>
      </c>
      <c r="F28" s="77"/>
      <c r="G28" s="77">
        <v>261</v>
      </c>
      <c r="H28" s="77"/>
    </row>
    <row r="29" spans="1:8" x14ac:dyDescent="0.25">
      <c r="A29" s="248"/>
      <c r="B29" s="83" t="s">
        <v>276</v>
      </c>
      <c r="C29" s="77">
        <v>0</v>
      </c>
      <c r="D29" s="77"/>
      <c r="E29" s="77">
        <v>0</v>
      </c>
      <c r="F29" s="77"/>
      <c r="G29" s="77">
        <v>0</v>
      </c>
      <c r="H29" s="77"/>
    </row>
    <row r="30" spans="1:8" x14ac:dyDescent="0.25">
      <c r="A30" s="244" t="s">
        <v>115</v>
      </c>
      <c r="B30" s="82" t="s">
        <v>277</v>
      </c>
      <c r="C30" s="82">
        <f>SUM(C31:C55)</f>
        <v>658</v>
      </c>
      <c r="D30" s="82">
        <f t="shared" ref="D30:H30" si="1">SUM(D31:D55)</f>
        <v>0</v>
      </c>
      <c r="E30" s="82">
        <f t="shared" si="1"/>
        <v>5356</v>
      </c>
      <c r="F30" s="82">
        <f t="shared" si="1"/>
        <v>0</v>
      </c>
      <c r="G30" s="82">
        <f t="shared" si="1"/>
        <v>1111</v>
      </c>
      <c r="H30" s="82">
        <f t="shared" si="1"/>
        <v>0</v>
      </c>
    </row>
    <row r="31" spans="1:8" x14ac:dyDescent="0.25">
      <c r="A31" s="245"/>
      <c r="B31" s="83" t="s">
        <v>252</v>
      </c>
      <c r="C31" s="77">
        <v>38</v>
      </c>
      <c r="D31" s="77"/>
      <c r="E31" s="77">
        <v>38</v>
      </c>
      <c r="F31" s="77"/>
      <c r="G31" s="77">
        <v>38</v>
      </c>
      <c r="H31" s="77"/>
    </row>
    <row r="32" spans="1:8" x14ac:dyDescent="0.25">
      <c r="A32" s="245"/>
      <c r="B32" s="83" t="s">
        <v>253</v>
      </c>
      <c r="C32" s="77">
        <v>20</v>
      </c>
      <c r="D32" s="77"/>
      <c r="E32" s="77">
        <v>20</v>
      </c>
      <c r="F32" s="77"/>
      <c r="G32" s="77">
        <v>20</v>
      </c>
      <c r="H32" s="77"/>
    </row>
    <row r="33" spans="1:8" x14ac:dyDescent="0.25">
      <c r="A33" s="245"/>
      <c r="B33" s="83" t="s">
        <v>254</v>
      </c>
      <c r="C33" s="77">
        <v>8</v>
      </c>
      <c r="D33" s="77"/>
      <c r="E33" s="77">
        <v>0</v>
      </c>
      <c r="F33" s="77"/>
      <c r="G33" s="77">
        <v>0</v>
      </c>
      <c r="H33" s="77"/>
    </row>
    <row r="34" spans="1:8" x14ac:dyDescent="0.25">
      <c r="A34" s="245"/>
      <c r="B34" s="83" t="s">
        <v>255</v>
      </c>
      <c r="C34" s="77">
        <v>0</v>
      </c>
      <c r="D34" s="77"/>
      <c r="E34" s="77">
        <v>0</v>
      </c>
      <c r="F34" s="77"/>
      <c r="G34" s="77">
        <v>0</v>
      </c>
      <c r="H34" s="77"/>
    </row>
    <row r="35" spans="1:8" x14ac:dyDescent="0.25">
      <c r="A35" s="245"/>
      <c r="B35" s="83" t="s">
        <v>256</v>
      </c>
      <c r="C35" s="77">
        <v>15</v>
      </c>
      <c r="D35" s="77"/>
      <c r="E35" s="77">
        <v>198</v>
      </c>
      <c r="F35" s="77"/>
      <c r="G35" s="77">
        <v>0</v>
      </c>
      <c r="H35" s="77"/>
    </row>
    <row r="36" spans="1:8" x14ac:dyDescent="0.25">
      <c r="A36" s="245"/>
      <c r="B36" s="83" t="s">
        <v>257</v>
      </c>
      <c r="C36" s="77">
        <v>0</v>
      </c>
      <c r="D36" s="77"/>
      <c r="E36" s="77">
        <v>0</v>
      </c>
      <c r="F36" s="77"/>
      <c r="G36" s="77">
        <v>0</v>
      </c>
      <c r="H36" s="77"/>
    </row>
    <row r="37" spans="1:8" x14ac:dyDescent="0.25">
      <c r="A37" s="245"/>
      <c r="B37" s="83" t="s">
        <v>258</v>
      </c>
      <c r="C37" s="77">
        <v>18</v>
      </c>
      <c r="D37" s="77"/>
      <c r="E37" s="77">
        <v>255</v>
      </c>
      <c r="F37" s="77"/>
      <c r="G37" s="77">
        <v>25</v>
      </c>
      <c r="H37" s="77"/>
    </row>
    <row r="38" spans="1:8" x14ac:dyDescent="0.25">
      <c r="A38" s="245"/>
      <c r="B38" s="83" t="s">
        <v>259</v>
      </c>
      <c r="C38" s="77">
        <v>8</v>
      </c>
      <c r="D38" s="77"/>
      <c r="E38" s="77">
        <v>253</v>
      </c>
      <c r="F38" s="77"/>
      <c r="G38" s="77">
        <v>233</v>
      </c>
      <c r="H38" s="77"/>
    </row>
    <row r="39" spans="1:8" x14ac:dyDescent="0.25">
      <c r="A39" s="245"/>
      <c r="B39" s="83" t="s">
        <v>260</v>
      </c>
      <c r="C39" s="77">
        <v>8</v>
      </c>
      <c r="D39" s="77"/>
      <c r="E39" s="77">
        <v>34</v>
      </c>
      <c r="F39" s="77"/>
      <c r="G39" s="77">
        <v>13</v>
      </c>
      <c r="H39" s="77"/>
    </row>
    <row r="40" spans="1:8" x14ac:dyDescent="0.25">
      <c r="A40" s="245"/>
      <c r="B40" s="83" t="s">
        <v>261</v>
      </c>
      <c r="C40" s="77">
        <v>1</v>
      </c>
      <c r="D40" s="77"/>
      <c r="E40" s="77">
        <v>1</v>
      </c>
      <c r="F40" s="77"/>
      <c r="G40" s="77">
        <v>2</v>
      </c>
      <c r="H40" s="77"/>
    </row>
    <row r="41" spans="1:8" x14ac:dyDescent="0.25">
      <c r="A41" s="245"/>
      <c r="B41" s="83" t="s">
        <v>262</v>
      </c>
      <c r="C41" s="77">
        <v>0</v>
      </c>
      <c r="D41" s="77"/>
      <c r="E41" s="77">
        <v>0</v>
      </c>
      <c r="F41" s="77"/>
      <c r="G41" s="77">
        <v>0</v>
      </c>
      <c r="H41" s="77"/>
    </row>
    <row r="42" spans="1:8" x14ac:dyDescent="0.25">
      <c r="A42" s="245"/>
      <c r="B42" s="83" t="s">
        <v>263</v>
      </c>
      <c r="C42" s="77">
        <v>1</v>
      </c>
      <c r="D42" s="77"/>
      <c r="E42" s="77">
        <v>20</v>
      </c>
      <c r="F42" s="77"/>
      <c r="G42" s="77">
        <v>678</v>
      </c>
      <c r="H42" s="77"/>
    </row>
    <row r="43" spans="1:8" x14ac:dyDescent="0.25">
      <c r="A43" s="245"/>
      <c r="B43" s="83" t="s">
        <v>264</v>
      </c>
      <c r="C43" s="77">
        <v>0</v>
      </c>
      <c r="D43" s="77"/>
      <c r="E43" s="77">
        <v>0</v>
      </c>
      <c r="F43" s="77"/>
      <c r="G43" s="77">
        <v>0</v>
      </c>
      <c r="H43" s="77"/>
    </row>
    <row r="44" spans="1:8" x14ac:dyDescent="0.25">
      <c r="A44" s="245"/>
      <c r="B44" s="83" t="s">
        <v>265</v>
      </c>
      <c r="C44" s="77">
        <v>0</v>
      </c>
      <c r="D44" s="77"/>
      <c r="E44" s="77">
        <v>0</v>
      </c>
      <c r="F44" s="77"/>
      <c r="G44" s="77">
        <v>0</v>
      </c>
      <c r="H44" s="77"/>
    </row>
    <row r="45" spans="1:8" x14ac:dyDescent="0.25">
      <c r="A45" s="245"/>
      <c r="B45" s="83" t="s">
        <v>266</v>
      </c>
      <c r="C45" s="77">
        <v>139</v>
      </c>
      <c r="D45" s="77"/>
      <c r="E45" s="77">
        <v>688</v>
      </c>
      <c r="F45" s="77"/>
      <c r="G45" s="77">
        <v>1</v>
      </c>
      <c r="H45" s="77"/>
    </row>
    <row r="46" spans="1:8" x14ac:dyDescent="0.25">
      <c r="A46" s="245"/>
      <c r="B46" s="83" t="s">
        <v>267</v>
      </c>
      <c r="C46" s="77">
        <v>12</v>
      </c>
      <c r="D46" s="77"/>
      <c r="E46" s="77">
        <v>16</v>
      </c>
      <c r="F46" s="77"/>
      <c r="G46" s="77">
        <v>16</v>
      </c>
      <c r="H46" s="77"/>
    </row>
    <row r="47" spans="1:8" x14ac:dyDescent="0.25">
      <c r="A47" s="245"/>
      <c r="B47" s="83" t="s">
        <v>268</v>
      </c>
      <c r="C47" s="77">
        <v>379</v>
      </c>
      <c r="D47" s="77"/>
      <c r="E47" s="77">
        <v>3803</v>
      </c>
      <c r="F47" s="77"/>
      <c r="G47" s="77">
        <v>60</v>
      </c>
      <c r="H47" s="77"/>
    </row>
    <row r="48" spans="1:8" x14ac:dyDescent="0.25">
      <c r="A48" s="245"/>
      <c r="B48" s="83" t="s">
        <v>269</v>
      </c>
      <c r="C48" s="77">
        <v>0</v>
      </c>
      <c r="D48" s="77"/>
      <c r="E48" s="77">
        <v>0</v>
      </c>
      <c r="F48" s="77"/>
      <c r="G48" s="77">
        <v>0</v>
      </c>
      <c r="H48" s="77"/>
    </row>
    <row r="49" spans="1:8" x14ac:dyDescent="0.25">
      <c r="A49" s="245"/>
      <c r="B49" s="83" t="s">
        <v>270</v>
      </c>
      <c r="C49" s="77">
        <v>1</v>
      </c>
      <c r="D49" s="77"/>
      <c r="E49" s="77">
        <v>1</v>
      </c>
      <c r="F49" s="77"/>
      <c r="G49" s="77">
        <v>1</v>
      </c>
      <c r="H49" s="77"/>
    </row>
    <row r="50" spans="1:8" x14ac:dyDescent="0.25">
      <c r="A50" s="245"/>
      <c r="B50" s="83" t="s">
        <v>271</v>
      </c>
      <c r="C50" s="77">
        <v>0</v>
      </c>
      <c r="D50" s="77"/>
      <c r="E50" s="77">
        <v>0</v>
      </c>
      <c r="F50" s="77"/>
      <c r="G50" s="77">
        <v>0</v>
      </c>
      <c r="H50" s="77"/>
    </row>
    <row r="51" spans="1:8" x14ac:dyDescent="0.25">
      <c r="A51" s="245"/>
      <c r="B51" s="83" t="s">
        <v>272</v>
      </c>
      <c r="C51" s="77">
        <v>7</v>
      </c>
      <c r="D51" s="77"/>
      <c r="E51" s="77">
        <v>10</v>
      </c>
      <c r="F51" s="77"/>
      <c r="G51" s="77">
        <v>10</v>
      </c>
      <c r="H51" s="77"/>
    </row>
    <row r="52" spans="1:8" x14ac:dyDescent="0.25">
      <c r="A52" s="245"/>
      <c r="B52" s="83" t="s">
        <v>273</v>
      </c>
      <c r="C52" s="77">
        <v>0</v>
      </c>
      <c r="D52" s="77"/>
      <c r="E52" s="77">
        <v>0</v>
      </c>
      <c r="F52" s="77"/>
      <c r="G52" s="77">
        <v>0</v>
      </c>
      <c r="H52" s="77"/>
    </row>
    <row r="53" spans="1:8" x14ac:dyDescent="0.25">
      <c r="A53" s="245"/>
      <c r="B53" s="83" t="s">
        <v>274</v>
      </c>
      <c r="C53" s="77">
        <v>1</v>
      </c>
      <c r="D53" s="77"/>
      <c r="E53" s="77">
        <v>5</v>
      </c>
      <c r="F53" s="77"/>
      <c r="G53" s="77">
        <v>0</v>
      </c>
      <c r="H53" s="77"/>
    </row>
    <row r="54" spans="1:8" x14ac:dyDescent="0.25">
      <c r="A54" s="245"/>
      <c r="B54" s="83" t="s">
        <v>275</v>
      </c>
      <c r="C54" s="77">
        <v>0</v>
      </c>
      <c r="D54" s="77"/>
      <c r="E54" s="77">
        <v>0</v>
      </c>
      <c r="F54" s="77"/>
      <c r="G54" s="77">
        <v>0</v>
      </c>
      <c r="H54" s="77"/>
    </row>
    <row r="55" spans="1:8" x14ac:dyDescent="0.25">
      <c r="A55" s="245"/>
      <c r="B55" s="83" t="s">
        <v>276</v>
      </c>
      <c r="C55" s="77">
        <v>2</v>
      </c>
      <c r="D55" s="77"/>
      <c r="E55" s="77">
        <v>14</v>
      </c>
      <c r="F55" s="77"/>
      <c r="G55" s="77">
        <v>14</v>
      </c>
      <c r="H55" s="77"/>
    </row>
    <row r="56" spans="1:8" x14ac:dyDescent="0.25">
      <c r="A56" s="244" t="s">
        <v>116</v>
      </c>
      <c r="B56" s="82" t="s">
        <v>277</v>
      </c>
      <c r="C56" s="82">
        <f>SUM(C57:C81)</f>
        <v>282</v>
      </c>
      <c r="D56" s="82">
        <f t="shared" ref="D56:H56" si="2">SUM(D57:D81)</f>
        <v>0</v>
      </c>
      <c r="E56" s="82">
        <f t="shared" si="2"/>
        <v>535</v>
      </c>
      <c r="F56" s="82">
        <f t="shared" si="2"/>
        <v>0</v>
      </c>
      <c r="G56" s="82">
        <f t="shared" si="2"/>
        <v>984</v>
      </c>
      <c r="H56" s="82">
        <f t="shared" si="2"/>
        <v>0</v>
      </c>
    </row>
    <row r="57" spans="1:8" x14ac:dyDescent="0.25">
      <c r="A57" s="245"/>
      <c r="B57" s="83" t="s">
        <v>252</v>
      </c>
      <c r="C57" s="77">
        <v>46</v>
      </c>
      <c r="D57" s="77"/>
      <c r="E57" s="77">
        <v>46</v>
      </c>
      <c r="F57" s="77"/>
      <c r="G57" s="77">
        <v>46</v>
      </c>
      <c r="H57" s="77"/>
    </row>
    <row r="58" spans="1:8" x14ac:dyDescent="0.25">
      <c r="A58" s="245"/>
      <c r="B58" s="83" t="s">
        <v>253</v>
      </c>
      <c r="C58" s="77">
        <v>5</v>
      </c>
      <c r="D58" s="77"/>
      <c r="E58" s="77">
        <v>5</v>
      </c>
      <c r="F58" s="77"/>
      <c r="G58" s="77">
        <v>5</v>
      </c>
      <c r="H58" s="77"/>
    </row>
    <row r="59" spans="1:8" x14ac:dyDescent="0.25">
      <c r="A59" s="245"/>
      <c r="B59" s="83" t="s">
        <v>254</v>
      </c>
      <c r="C59" s="77">
        <v>1</v>
      </c>
      <c r="D59" s="77"/>
      <c r="E59" s="77">
        <v>90</v>
      </c>
      <c r="F59" s="77"/>
      <c r="G59" s="77">
        <v>652</v>
      </c>
      <c r="H59" s="77"/>
    </row>
    <row r="60" spans="1:8" x14ac:dyDescent="0.25">
      <c r="A60" s="245"/>
      <c r="B60" s="83" t="s">
        <v>255</v>
      </c>
      <c r="C60" s="77">
        <v>0</v>
      </c>
      <c r="D60" s="77"/>
      <c r="E60" s="77">
        <v>0</v>
      </c>
      <c r="F60" s="77"/>
      <c r="G60" s="77">
        <v>0</v>
      </c>
      <c r="H60" s="77"/>
    </row>
    <row r="61" spans="1:8" x14ac:dyDescent="0.25">
      <c r="A61" s="245"/>
      <c r="B61" s="83" t="s">
        <v>256</v>
      </c>
      <c r="C61" s="77">
        <v>5</v>
      </c>
      <c r="D61" s="77"/>
      <c r="E61" s="77">
        <v>65</v>
      </c>
      <c r="F61" s="77"/>
      <c r="G61" s="77">
        <v>1</v>
      </c>
      <c r="H61" s="77"/>
    </row>
    <row r="62" spans="1:8" x14ac:dyDescent="0.25">
      <c r="A62" s="245"/>
      <c r="B62" s="83" t="s">
        <v>257</v>
      </c>
      <c r="C62" s="77">
        <v>0</v>
      </c>
      <c r="D62" s="77"/>
      <c r="E62" s="77">
        <v>0</v>
      </c>
      <c r="F62" s="77"/>
      <c r="G62" s="77">
        <v>0</v>
      </c>
      <c r="H62" s="77"/>
    </row>
    <row r="63" spans="1:8" x14ac:dyDescent="0.25">
      <c r="A63" s="245"/>
      <c r="B63" s="83" t="s">
        <v>258</v>
      </c>
      <c r="C63" s="77">
        <v>2</v>
      </c>
      <c r="D63" s="77"/>
      <c r="E63" s="77">
        <v>6</v>
      </c>
      <c r="F63" s="77"/>
      <c r="G63" s="77">
        <v>6</v>
      </c>
      <c r="H63" s="77"/>
    </row>
    <row r="64" spans="1:8" x14ac:dyDescent="0.25">
      <c r="A64" s="245"/>
      <c r="B64" s="83" t="s">
        <v>259</v>
      </c>
      <c r="C64" s="77">
        <v>2</v>
      </c>
      <c r="D64" s="77"/>
      <c r="E64" s="77">
        <v>2</v>
      </c>
      <c r="F64" s="77"/>
      <c r="G64" s="77">
        <v>2</v>
      </c>
      <c r="H64" s="77"/>
    </row>
    <row r="65" spans="1:8" x14ac:dyDescent="0.25">
      <c r="A65" s="245"/>
      <c r="B65" s="83" t="s">
        <v>260</v>
      </c>
      <c r="C65" s="77">
        <v>2</v>
      </c>
      <c r="D65" s="77"/>
      <c r="E65" s="77">
        <v>14</v>
      </c>
      <c r="F65" s="77"/>
      <c r="G65" s="77">
        <v>1</v>
      </c>
      <c r="H65" s="77"/>
    </row>
    <row r="66" spans="1:8" x14ac:dyDescent="0.25">
      <c r="A66" s="245"/>
      <c r="B66" s="83" t="s">
        <v>261</v>
      </c>
      <c r="C66" s="77">
        <v>0</v>
      </c>
      <c r="D66" s="77"/>
      <c r="E66" s="77">
        <v>0</v>
      </c>
      <c r="F66" s="77"/>
      <c r="G66" s="77">
        <v>0</v>
      </c>
      <c r="H66" s="77"/>
    </row>
    <row r="67" spans="1:8" x14ac:dyDescent="0.25">
      <c r="A67" s="245"/>
      <c r="B67" s="83" t="s">
        <v>262</v>
      </c>
      <c r="C67" s="77">
        <v>0</v>
      </c>
      <c r="D67" s="77"/>
      <c r="E67" s="77">
        <v>0</v>
      </c>
      <c r="F67" s="77"/>
      <c r="G67" s="77">
        <v>0</v>
      </c>
      <c r="H67" s="77"/>
    </row>
    <row r="68" spans="1:8" x14ac:dyDescent="0.25">
      <c r="A68" s="245"/>
      <c r="B68" s="83" t="s">
        <v>263</v>
      </c>
      <c r="C68" s="77">
        <v>4</v>
      </c>
      <c r="D68" s="77"/>
      <c r="E68" s="77">
        <v>92</v>
      </c>
      <c r="F68" s="77"/>
      <c r="G68" s="77">
        <v>250</v>
      </c>
      <c r="H68" s="77"/>
    </row>
    <row r="69" spans="1:8" x14ac:dyDescent="0.25">
      <c r="A69" s="245"/>
      <c r="B69" s="83" t="s">
        <v>264</v>
      </c>
      <c r="C69" s="77">
        <v>0</v>
      </c>
      <c r="D69" s="77"/>
      <c r="E69" s="77">
        <v>0</v>
      </c>
      <c r="F69" s="77"/>
      <c r="G69" s="77">
        <v>0</v>
      </c>
      <c r="H69" s="77"/>
    </row>
    <row r="70" spans="1:8" x14ac:dyDescent="0.25">
      <c r="A70" s="245"/>
      <c r="B70" s="83" t="s">
        <v>265</v>
      </c>
      <c r="C70" s="77">
        <v>3</v>
      </c>
      <c r="D70" s="77"/>
      <c r="E70" s="77">
        <v>6</v>
      </c>
      <c r="F70" s="77"/>
      <c r="G70" s="77">
        <v>6</v>
      </c>
      <c r="H70" s="77"/>
    </row>
    <row r="71" spans="1:8" x14ac:dyDescent="0.25">
      <c r="A71" s="245"/>
      <c r="B71" s="83" t="s">
        <v>266</v>
      </c>
      <c r="C71" s="77">
        <v>0</v>
      </c>
      <c r="D71" s="77"/>
      <c r="E71" s="77">
        <v>0</v>
      </c>
      <c r="F71" s="77"/>
      <c r="G71" s="77">
        <v>0</v>
      </c>
      <c r="H71" s="77"/>
    </row>
    <row r="72" spans="1:8" x14ac:dyDescent="0.25">
      <c r="A72" s="245"/>
      <c r="B72" s="83" t="s">
        <v>267</v>
      </c>
      <c r="C72" s="77">
        <v>1</v>
      </c>
      <c r="D72" s="77"/>
      <c r="E72" s="77">
        <v>1</v>
      </c>
      <c r="F72" s="77"/>
      <c r="G72" s="77">
        <v>1</v>
      </c>
      <c r="H72" s="77"/>
    </row>
    <row r="73" spans="1:8" x14ac:dyDescent="0.25">
      <c r="A73" s="245"/>
      <c r="B73" s="83" t="s">
        <v>268</v>
      </c>
      <c r="C73" s="77">
        <v>195</v>
      </c>
      <c r="D73" s="77"/>
      <c r="E73" s="77">
        <v>191</v>
      </c>
      <c r="F73" s="77"/>
      <c r="G73" s="77">
        <v>0</v>
      </c>
      <c r="H73" s="77"/>
    </row>
    <row r="74" spans="1:8" x14ac:dyDescent="0.25">
      <c r="A74" s="245"/>
      <c r="B74" s="83" t="s">
        <v>269</v>
      </c>
      <c r="C74" s="77">
        <v>0</v>
      </c>
      <c r="D74" s="77"/>
      <c r="E74" s="77">
        <v>0</v>
      </c>
      <c r="F74" s="77"/>
      <c r="G74" s="77">
        <v>0</v>
      </c>
      <c r="H74" s="77"/>
    </row>
    <row r="75" spans="1:8" x14ac:dyDescent="0.25">
      <c r="A75" s="245"/>
      <c r="B75" s="83" t="s">
        <v>270</v>
      </c>
      <c r="C75" s="77">
        <v>0</v>
      </c>
      <c r="D75" s="77"/>
      <c r="E75" s="77">
        <v>0</v>
      </c>
      <c r="F75" s="77"/>
      <c r="G75" s="77">
        <v>0</v>
      </c>
      <c r="H75" s="77"/>
    </row>
    <row r="76" spans="1:8" x14ac:dyDescent="0.25">
      <c r="A76" s="245"/>
      <c r="B76" s="83" t="s">
        <v>271</v>
      </c>
      <c r="C76" s="77">
        <v>0</v>
      </c>
      <c r="D76" s="77"/>
      <c r="E76" s="77">
        <v>0</v>
      </c>
      <c r="F76" s="77"/>
      <c r="G76" s="77">
        <v>0</v>
      </c>
      <c r="H76" s="77"/>
    </row>
    <row r="77" spans="1:8" x14ac:dyDescent="0.25">
      <c r="A77" s="245"/>
      <c r="B77" s="83" t="s">
        <v>272</v>
      </c>
      <c r="C77" s="77">
        <v>14</v>
      </c>
      <c r="D77" s="77"/>
      <c r="E77" s="77">
        <v>14</v>
      </c>
      <c r="F77" s="77"/>
      <c r="G77" s="77">
        <v>14</v>
      </c>
      <c r="H77" s="77"/>
    </row>
    <row r="78" spans="1:8" x14ac:dyDescent="0.25">
      <c r="A78" s="245"/>
      <c r="B78" s="83" t="s">
        <v>273</v>
      </c>
      <c r="C78" s="77">
        <v>2</v>
      </c>
      <c r="D78" s="77"/>
      <c r="E78" s="77">
        <v>3</v>
      </c>
      <c r="F78" s="77"/>
      <c r="G78" s="77">
        <v>0</v>
      </c>
      <c r="H78" s="77"/>
    </row>
    <row r="79" spans="1:8" x14ac:dyDescent="0.25">
      <c r="A79" s="245"/>
      <c r="B79" s="83" t="s">
        <v>274</v>
      </c>
      <c r="C79" s="77">
        <v>0</v>
      </c>
      <c r="D79" s="77"/>
      <c r="E79" s="77">
        <v>0</v>
      </c>
      <c r="F79" s="77"/>
      <c r="G79" s="77">
        <v>0</v>
      </c>
      <c r="H79" s="77"/>
    </row>
    <row r="80" spans="1:8" x14ac:dyDescent="0.25">
      <c r="A80" s="245"/>
      <c r="B80" s="83" t="s">
        <v>275</v>
      </c>
      <c r="C80" s="77">
        <v>0</v>
      </c>
      <c r="D80" s="77"/>
      <c r="E80" s="77">
        <v>0</v>
      </c>
      <c r="F80" s="77"/>
      <c r="G80" s="77">
        <v>0</v>
      </c>
      <c r="H80" s="77"/>
    </row>
    <row r="81" spans="1:8" x14ac:dyDescent="0.25">
      <c r="A81" s="245"/>
      <c r="B81" s="83" t="s">
        <v>276</v>
      </c>
      <c r="C81" s="77">
        <v>0</v>
      </c>
      <c r="D81" s="77"/>
      <c r="E81" s="77">
        <v>0</v>
      </c>
      <c r="F81" s="77"/>
      <c r="G81" s="77">
        <v>0</v>
      </c>
      <c r="H81" s="77"/>
    </row>
    <row r="82" spans="1:8" x14ac:dyDescent="0.25">
      <c r="A82" s="244" t="s">
        <v>117</v>
      </c>
      <c r="B82" s="82" t="s">
        <v>277</v>
      </c>
      <c r="C82" s="82">
        <f>SUM(C83:C107)</f>
        <v>979</v>
      </c>
      <c r="D82" s="82">
        <f t="shared" ref="D82:H82" si="3">SUM(D83:D107)</f>
        <v>0</v>
      </c>
      <c r="E82" s="82">
        <f t="shared" si="3"/>
        <v>15156</v>
      </c>
      <c r="F82" s="82">
        <f t="shared" si="3"/>
        <v>0</v>
      </c>
      <c r="G82" s="82">
        <f t="shared" si="3"/>
        <v>149565</v>
      </c>
      <c r="H82" s="82">
        <f t="shared" si="3"/>
        <v>0</v>
      </c>
    </row>
    <row r="83" spans="1:8" x14ac:dyDescent="0.25">
      <c r="A83" s="245"/>
      <c r="B83" s="83" t="s">
        <v>252</v>
      </c>
      <c r="C83" s="77">
        <v>74</v>
      </c>
      <c r="D83" s="77"/>
      <c r="E83" s="77">
        <v>74</v>
      </c>
      <c r="F83" s="77"/>
      <c r="G83" s="77">
        <v>74</v>
      </c>
      <c r="H83" s="77"/>
    </row>
    <row r="84" spans="1:8" x14ac:dyDescent="0.25">
      <c r="A84" s="245"/>
      <c r="B84" s="83" t="s">
        <v>253</v>
      </c>
      <c r="C84" s="77">
        <v>10</v>
      </c>
      <c r="D84" s="77"/>
      <c r="E84" s="77">
        <v>10</v>
      </c>
      <c r="F84" s="77"/>
      <c r="G84" s="77">
        <v>10</v>
      </c>
      <c r="H84" s="77"/>
    </row>
    <row r="85" spans="1:8" x14ac:dyDescent="0.25">
      <c r="A85" s="245"/>
      <c r="B85" s="83" t="s">
        <v>254</v>
      </c>
      <c r="C85" s="77">
        <v>11</v>
      </c>
      <c r="D85" s="77"/>
      <c r="E85" s="77">
        <v>78</v>
      </c>
      <c r="F85" s="77"/>
      <c r="G85" s="77">
        <v>132099</v>
      </c>
      <c r="H85" s="77"/>
    </row>
    <row r="86" spans="1:8" x14ac:dyDescent="0.25">
      <c r="A86" s="245"/>
      <c r="B86" s="83" t="s">
        <v>255</v>
      </c>
      <c r="C86" s="77">
        <v>0</v>
      </c>
      <c r="D86" s="77"/>
      <c r="E86" s="77">
        <v>0</v>
      </c>
      <c r="F86" s="77"/>
      <c r="G86" s="77">
        <v>0</v>
      </c>
      <c r="H86" s="77"/>
    </row>
    <row r="87" spans="1:8" x14ac:dyDescent="0.25">
      <c r="A87" s="245"/>
      <c r="B87" s="83" t="s">
        <v>256</v>
      </c>
      <c r="C87" s="77">
        <v>2</v>
      </c>
      <c r="D87" s="77"/>
      <c r="E87" s="77">
        <v>49</v>
      </c>
      <c r="F87" s="77"/>
      <c r="G87" s="77">
        <v>0</v>
      </c>
      <c r="H87" s="77"/>
    </row>
    <row r="88" spans="1:8" x14ac:dyDescent="0.25">
      <c r="A88" s="245"/>
      <c r="B88" s="83" t="s">
        <v>257</v>
      </c>
      <c r="C88" s="77">
        <v>0</v>
      </c>
      <c r="D88" s="77"/>
      <c r="E88" s="77">
        <v>0</v>
      </c>
      <c r="F88" s="77"/>
      <c r="G88" s="77">
        <v>0</v>
      </c>
      <c r="H88" s="77"/>
    </row>
    <row r="89" spans="1:8" x14ac:dyDescent="0.25">
      <c r="A89" s="245"/>
      <c r="B89" s="83" t="s">
        <v>258</v>
      </c>
      <c r="C89" s="77">
        <v>18</v>
      </c>
      <c r="D89" s="77"/>
      <c r="E89" s="77">
        <v>718</v>
      </c>
      <c r="F89" s="77"/>
      <c r="G89" s="77">
        <v>3</v>
      </c>
      <c r="H89" s="77"/>
    </row>
    <row r="90" spans="1:8" x14ac:dyDescent="0.25">
      <c r="A90" s="245"/>
      <c r="B90" s="83" t="s">
        <v>259</v>
      </c>
      <c r="C90" s="77">
        <v>4</v>
      </c>
      <c r="D90" s="77"/>
      <c r="E90" s="77">
        <v>205</v>
      </c>
      <c r="F90" s="77"/>
      <c r="G90" s="77">
        <v>62</v>
      </c>
      <c r="H90" s="77"/>
    </row>
    <row r="91" spans="1:8" x14ac:dyDescent="0.25">
      <c r="A91" s="245"/>
      <c r="B91" s="83" t="s">
        <v>260</v>
      </c>
      <c r="C91" s="77">
        <v>2</v>
      </c>
      <c r="D91" s="77"/>
      <c r="E91" s="77">
        <v>2</v>
      </c>
      <c r="F91" s="77"/>
      <c r="G91" s="77">
        <v>2</v>
      </c>
      <c r="H91" s="77"/>
    </row>
    <row r="92" spans="1:8" x14ac:dyDescent="0.25">
      <c r="A92" s="245"/>
      <c r="B92" s="83" t="s">
        <v>261</v>
      </c>
      <c r="C92" s="77">
        <v>0</v>
      </c>
      <c r="D92" s="77"/>
      <c r="E92" s="77">
        <v>0</v>
      </c>
      <c r="F92" s="77"/>
      <c r="G92" s="77">
        <v>0</v>
      </c>
      <c r="H92" s="77"/>
    </row>
    <row r="93" spans="1:8" x14ac:dyDescent="0.25">
      <c r="A93" s="245"/>
      <c r="B93" s="83" t="s">
        <v>262</v>
      </c>
      <c r="C93" s="77">
        <v>0</v>
      </c>
      <c r="D93" s="77"/>
      <c r="E93" s="77">
        <v>0</v>
      </c>
      <c r="F93" s="77"/>
      <c r="G93" s="77">
        <v>0</v>
      </c>
      <c r="H93" s="77"/>
    </row>
    <row r="94" spans="1:8" x14ac:dyDescent="0.25">
      <c r="A94" s="245"/>
      <c r="B94" s="83" t="s">
        <v>263</v>
      </c>
      <c r="C94" s="77">
        <v>66</v>
      </c>
      <c r="D94" s="77"/>
      <c r="E94" s="77">
        <v>119</v>
      </c>
      <c r="F94" s="77"/>
      <c r="G94" s="77">
        <v>7818</v>
      </c>
      <c r="H94" s="77"/>
    </row>
    <row r="95" spans="1:8" x14ac:dyDescent="0.25">
      <c r="A95" s="245"/>
      <c r="B95" s="83" t="s">
        <v>264</v>
      </c>
      <c r="C95" s="77">
        <v>22</v>
      </c>
      <c r="D95" s="77"/>
      <c r="E95" s="77">
        <v>78</v>
      </c>
      <c r="F95" s="77"/>
      <c r="G95" s="77">
        <v>88</v>
      </c>
      <c r="H95" s="77"/>
    </row>
    <row r="96" spans="1:8" x14ac:dyDescent="0.25">
      <c r="A96" s="245"/>
      <c r="B96" s="83" t="s">
        <v>265</v>
      </c>
      <c r="C96" s="77">
        <v>1</v>
      </c>
      <c r="D96" s="77"/>
      <c r="E96" s="77">
        <v>1</v>
      </c>
      <c r="F96" s="77"/>
      <c r="G96" s="77">
        <v>1</v>
      </c>
      <c r="H96" s="77"/>
    </row>
    <row r="97" spans="1:8" x14ac:dyDescent="0.25">
      <c r="A97" s="245"/>
      <c r="B97" s="83" t="s">
        <v>266</v>
      </c>
      <c r="C97" s="77">
        <v>1</v>
      </c>
      <c r="D97" s="77"/>
      <c r="E97" s="77">
        <v>1</v>
      </c>
      <c r="F97" s="77"/>
      <c r="G97" s="77">
        <v>1</v>
      </c>
      <c r="H97" s="77"/>
    </row>
    <row r="98" spans="1:8" x14ac:dyDescent="0.25">
      <c r="A98" s="245"/>
      <c r="B98" s="83" t="s">
        <v>267</v>
      </c>
      <c r="C98" s="77">
        <v>1</v>
      </c>
      <c r="D98" s="77"/>
      <c r="E98" s="77">
        <v>1</v>
      </c>
      <c r="F98" s="77"/>
      <c r="G98" s="77">
        <v>1</v>
      </c>
      <c r="H98" s="77"/>
    </row>
    <row r="99" spans="1:8" x14ac:dyDescent="0.25">
      <c r="A99" s="245"/>
      <c r="B99" s="83" t="s">
        <v>268</v>
      </c>
      <c r="C99" s="77">
        <v>740</v>
      </c>
      <c r="D99" s="77"/>
      <c r="E99" s="77">
        <v>4474</v>
      </c>
      <c r="F99" s="77"/>
      <c r="G99" s="77">
        <v>0</v>
      </c>
      <c r="H99" s="77"/>
    </row>
    <row r="100" spans="1:8" x14ac:dyDescent="0.25">
      <c r="A100" s="245"/>
      <c r="B100" s="83" t="s">
        <v>269</v>
      </c>
      <c r="C100" s="77">
        <v>0</v>
      </c>
      <c r="D100" s="77"/>
      <c r="E100" s="77">
        <v>0</v>
      </c>
      <c r="F100" s="77"/>
      <c r="G100" s="77">
        <v>0</v>
      </c>
      <c r="H100" s="77"/>
    </row>
    <row r="101" spans="1:8" x14ac:dyDescent="0.25">
      <c r="A101" s="245"/>
      <c r="B101" s="83" t="s">
        <v>270</v>
      </c>
      <c r="C101" s="77">
        <v>0</v>
      </c>
      <c r="D101" s="77"/>
      <c r="E101" s="77">
        <v>0</v>
      </c>
      <c r="F101" s="77"/>
      <c r="G101" s="77">
        <v>0</v>
      </c>
      <c r="H101" s="77"/>
    </row>
    <row r="102" spans="1:8" x14ac:dyDescent="0.25">
      <c r="A102" s="245"/>
      <c r="B102" s="83" t="s">
        <v>271</v>
      </c>
      <c r="C102" s="77">
        <v>5</v>
      </c>
      <c r="D102" s="77"/>
      <c r="E102" s="77">
        <v>9320</v>
      </c>
      <c r="F102" s="77"/>
      <c r="G102" s="77">
        <v>9385</v>
      </c>
      <c r="H102" s="77"/>
    </row>
    <row r="103" spans="1:8" x14ac:dyDescent="0.25">
      <c r="A103" s="245"/>
      <c r="B103" s="83" t="s">
        <v>272</v>
      </c>
      <c r="C103" s="77">
        <v>18</v>
      </c>
      <c r="D103" s="77"/>
      <c r="E103" s="77">
        <v>20</v>
      </c>
      <c r="F103" s="77"/>
      <c r="G103" s="77">
        <v>20</v>
      </c>
      <c r="H103" s="77"/>
    </row>
    <row r="104" spans="1:8" x14ac:dyDescent="0.25">
      <c r="A104" s="245"/>
      <c r="B104" s="83" t="s">
        <v>273</v>
      </c>
      <c r="C104" s="77">
        <v>2</v>
      </c>
      <c r="D104" s="77"/>
      <c r="E104" s="77">
        <v>4</v>
      </c>
      <c r="F104" s="77"/>
      <c r="G104" s="77">
        <v>0</v>
      </c>
      <c r="H104" s="77"/>
    </row>
    <row r="105" spans="1:8" x14ac:dyDescent="0.25">
      <c r="A105" s="245"/>
      <c r="B105" s="83" t="s">
        <v>274</v>
      </c>
      <c r="C105" s="77">
        <v>2</v>
      </c>
      <c r="D105" s="77"/>
      <c r="E105" s="77">
        <v>2</v>
      </c>
      <c r="F105" s="77"/>
      <c r="G105" s="77">
        <v>1</v>
      </c>
      <c r="H105" s="77"/>
    </row>
    <row r="106" spans="1:8" x14ac:dyDescent="0.25">
      <c r="A106" s="245"/>
      <c r="B106" s="83" t="s">
        <v>275</v>
      </c>
      <c r="C106" s="77">
        <v>0</v>
      </c>
      <c r="D106" s="77"/>
      <c r="E106" s="77">
        <v>0</v>
      </c>
      <c r="F106" s="77"/>
      <c r="G106" s="77">
        <v>0</v>
      </c>
      <c r="H106" s="77"/>
    </row>
    <row r="107" spans="1:8" x14ac:dyDescent="0.25">
      <c r="A107" s="245"/>
      <c r="B107" s="83" t="s">
        <v>276</v>
      </c>
      <c r="C107" s="77">
        <v>0</v>
      </c>
      <c r="D107" s="77"/>
      <c r="E107" s="77">
        <v>0</v>
      </c>
      <c r="F107" s="77"/>
      <c r="G107" s="77">
        <v>0</v>
      </c>
      <c r="H107" s="77"/>
    </row>
    <row r="108" spans="1:8" x14ac:dyDescent="0.25">
      <c r="A108" s="244" t="s">
        <v>118</v>
      </c>
      <c r="B108" s="82" t="s">
        <v>277</v>
      </c>
      <c r="C108" s="82">
        <f>SUM(C109:C133)</f>
        <v>1640</v>
      </c>
      <c r="D108" s="82">
        <f t="shared" ref="D108:H108" si="4">SUM(D109:D133)</f>
        <v>0</v>
      </c>
      <c r="E108" s="82">
        <f t="shared" si="4"/>
        <v>2962</v>
      </c>
      <c r="F108" s="82">
        <f t="shared" si="4"/>
        <v>0</v>
      </c>
      <c r="G108" s="82">
        <f t="shared" si="4"/>
        <v>36399</v>
      </c>
      <c r="H108" s="82">
        <f t="shared" si="4"/>
        <v>0</v>
      </c>
    </row>
    <row r="109" spans="1:8" x14ac:dyDescent="0.25">
      <c r="A109" s="245"/>
      <c r="B109" s="83" t="s">
        <v>252</v>
      </c>
      <c r="C109" s="77">
        <v>12</v>
      </c>
      <c r="D109" s="77"/>
      <c r="E109" s="77">
        <v>12</v>
      </c>
      <c r="F109" s="77"/>
      <c r="G109" s="77">
        <v>12</v>
      </c>
      <c r="H109" s="77"/>
    </row>
    <row r="110" spans="1:8" x14ac:dyDescent="0.25">
      <c r="A110" s="245"/>
      <c r="B110" s="83" t="s">
        <v>253</v>
      </c>
      <c r="C110" s="77">
        <v>3</v>
      </c>
      <c r="D110" s="77"/>
      <c r="E110" s="77">
        <v>3</v>
      </c>
      <c r="F110" s="77"/>
      <c r="G110" s="77">
        <v>3</v>
      </c>
      <c r="H110" s="77"/>
    </row>
    <row r="111" spans="1:8" x14ac:dyDescent="0.25">
      <c r="A111" s="245"/>
      <c r="B111" s="83" t="s">
        <v>254</v>
      </c>
      <c r="C111" s="77">
        <v>6</v>
      </c>
      <c r="D111" s="77"/>
      <c r="E111" s="77">
        <v>131</v>
      </c>
      <c r="F111" s="77"/>
      <c r="G111" s="77">
        <v>14258</v>
      </c>
      <c r="H111" s="77"/>
    </row>
    <row r="112" spans="1:8" x14ac:dyDescent="0.25">
      <c r="A112" s="245"/>
      <c r="B112" s="83" t="s">
        <v>255</v>
      </c>
      <c r="C112" s="77">
        <v>0</v>
      </c>
      <c r="D112" s="77"/>
      <c r="E112" s="77">
        <v>0</v>
      </c>
      <c r="F112" s="77"/>
      <c r="G112" s="77">
        <v>0</v>
      </c>
      <c r="H112" s="77"/>
    </row>
    <row r="113" spans="1:8" x14ac:dyDescent="0.25">
      <c r="A113" s="245"/>
      <c r="B113" s="83" t="s">
        <v>256</v>
      </c>
      <c r="C113" s="77">
        <v>5</v>
      </c>
      <c r="D113" s="77"/>
      <c r="E113" s="77">
        <v>43</v>
      </c>
      <c r="F113" s="77"/>
      <c r="G113" s="77">
        <v>39</v>
      </c>
      <c r="H113" s="77"/>
    </row>
    <row r="114" spans="1:8" x14ac:dyDescent="0.25">
      <c r="A114" s="245"/>
      <c r="B114" s="83" t="s">
        <v>257</v>
      </c>
      <c r="C114" s="77">
        <v>0</v>
      </c>
      <c r="D114" s="77"/>
      <c r="E114" s="77">
        <v>0</v>
      </c>
      <c r="F114" s="77"/>
      <c r="G114" s="77">
        <v>0</v>
      </c>
      <c r="H114" s="77"/>
    </row>
    <row r="115" spans="1:8" x14ac:dyDescent="0.25">
      <c r="A115" s="245"/>
      <c r="B115" s="83" t="s">
        <v>258</v>
      </c>
      <c r="C115" s="77">
        <v>54</v>
      </c>
      <c r="D115" s="77"/>
      <c r="E115" s="77">
        <v>1403</v>
      </c>
      <c r="F115" s="77"/>
      <c r="G115" s="77">
        <v>7</v>
      </c>
      <c r="H115" s="77"/>
    </row>
    <row r="116" spans="1:8" x14ac:dyDescent="0.25">
      <c r="A116" s="245"/>
      <c r="B116" s="83" t="s">
        <v>259</v>
      </c>
      <c r="C116" s="77">
        <v>7</v>
      </c>
      <c r="D116" s="77"/>
      <c r="E116" s="77">
        <v>256</v>
      </c>
      <c r="F116" s="77"/>
      <c r="G116" s="77">
        <v>12</v>
      </c>
      <c r="H116" s="77"/>
    </row>
    <row r="117" spans="1:8" x14ac:dyDescent="0.25">
      <c r="A117" s="245"/>
      <c r="B117" s="83" t="s">
        <v>260</v>
      </c>
      <c r="C117" s="77">
        <v>1</v>
      </c>
      <c r="D117" s="77"/>
      <c r="E117" s="77">
        <v>1</v>
      </c>
      <c r="F117" s="77"/>
      <c r="G117" s="77">
        <v>10</v>
      </c>
      <c r="H117" s="77"/>
    </row>
    <row r="118" spans="1:8" x14ac:dyDescent="0.25">
      <c r="A118" s="245"/>
      <c r="B118" s="83" t="s">
        <v>261</v>
      </c>
      <c r="C118" s="77">
        <v>4</v>
      </c>
      <c r="D118" s="77"/>
      <c r="E118" s="77">
        <v>4</v>
      </c>
      <c r="F118" s="77"/>
      <c r="G118" s="77">
        <v>8</v>
      </c>
      <c r="H118" s="77"/>
    </row>
    <row r="119" spans="1:8" x14ac:dyDescent="0.25">
      <c r="A119" s="245"/>
      <c r="B119" s="83" t="s">
        <v>262</v>
      </c>
      <c r="C119" s="77">
        <v>0</v>
      </c>
      <c r="D119" s="77"/>
      <c r="E119" s="77">
        <v>0</v>
      </c>
      <c r="F119" s="77"/>
      <c r="G119" s="77">
        <v>0</v>
      </c>
      <c r="H119" s="77"/>
    </row>
    <row r="120" spans="1:8" x14ac:dyDescent="0.25">
      <c r="A120" s="245"/>
      <c r="B120" s="83" t="s">
        <v>263</v>
      </c>
      <c r="C120" s="77">
        <v>13</v>
      </c>
      <c r="D120" s="77"/>
      <c r="E120" s="77">
        <v>110</v>
      </c>
      <c r="F120" s="77"/>
      <c r="G120" s="77">
        <v>22006</v>
      </c>
      <c r="H120" s="77"/>
    </row>
    <row r="121" spans="1:8" x14ac:dyDescent="0.25">
      <c r="A121" s="245"/>
      <c r="B121" s="83" t="s">
        <v>264</v>
      </c>
      <c r="C121" s="77">
        <v>8</v>
      </c>
      <c r="D121" s="77"/>
      <c r="E121" s="77">
        <v>22</v>
      </c>
      <c r="F121" s="77"/>
      <c r="G121" s="77">
        <v>34</v>
      </c>
      <c r="H121" s="77"/>
    </row>
    <row r="122" spans="1:8" x14ac:dyDescent="0.25">
      <c r="A122" s="245"/>
      <c r="B122" s="83" t="s">
        <v>265</v>
      </c>
      <c r="C122" s="77">
        <v>0</v>
      </c>
      <c r="D122" s="77"/>
      <c r="E122" s="77">
        <v>0</v>
      </c>
      <c r="F122" s="77"/>
      <c r="G122" s="77">
        <v>0</v>
      </c>
      <c r="H122" s="77"/>
    </row>
    <row r="123" spans="1:8" x14ac:dyDescent="0.25">
      <c r="A123" s="245"/>
      <c r="B123" s="83" t="s">
        <v>266</v>
      </c>
      <c r="C123" s="77">
        <v>4</v>
      </c>
      <c r="D123" s="77"/>
      <c r="E123" s="77">
        <v>12</v>
      </c>
      <c r="F123" s="77"/>
      <c r="G123" s="77">
        <v>0</v>
      </c>
      <c r="H123" s="77"/>
    </row>
    <row r="124" spans="1:8" x14ac:dyDescent="0.25">
      <c r="A124" s="245"/>
      <c r="B124" s="83" t="s">
        <v>267</v>
      </c>
      <c r="C124" s="77">
        <v>0</v>
      </c>
      <c r="D124" s="77"/>
      <c r="E124" s="77">
        <v>0</v>
      </c>
      <c r="F124" s="77"/>
      <c r="G124" s="77">
        <v>0</v>
      </c>
      <c r="H124" s="77"/>
    </row>
    <row r="125" spans="1:8" x14ac:dyDescent="0.25">
      <c r="A125" s="245"/>
      <c r="B125" s="83" t="s">
        <v>268</v>
      </c>
      <c r="C125" s="77">
        <v>1521</v>
      </c>
      <c r="D125" s="77"/>
      <c r="E125" s="77">
        <v>907</v>
      </c>
      <c r="F125" s="77"/>
      <c r="G125" s="77">
        <v>2</v>
      </c>
      <c r="H125" s="77"/>
    </row>
    <row r="126" spans="1:8" x14ac:dyDescent="0.25">
      <c r="A126" s="245"/>
      <c r="B126" s="83" t="s">
        <v>269</v>
      </c>
      <c r="C126" s="77">
        <v>0</v>
      </c>
      <c r="D126" s="77"/>
      <c r="E126" s="77">
        <v>0</v>
      </c>
      <c r="F126" s="77"/>
      <c r="G126" s="77">
        <v>0</v>
      </c>
      <c r="H126" s="77"/>
    </row>
    <row r="127" spans="1:8" x14ac:dyDescent="0.25">
      <c r="A127" s="245"/>
      <c r="B127" s="83" t="s">
        <v>270</v>
      </c>
      <c r="C127" s="77">
        <v>0</v>
      </c>
      <c r="D127" s="77"/>
      <c r="E127" s="77">
        <v>0</v>
      </c>
      <c r="F127" s="77"/>
      <c r="G127" s="77">
        <v>0</v>
      </c>
      <c r="H127" s="77"/>
    </row>
    <row r="128" spans="1:8" x14ac:dyDescent="0.25">
      <c r="A128" s="245"/>
      <c r="B128" s="83" t="s">
        <v>271</v>
      </c>
      <c r="C128" s="77">
        <v>1</v>
      </c>
      <c r="D128" s="77"/>
      <c r="E128" s="77">
        <v>8</v>
      </c>
      <c r="F128" s="77"/>
      <c r="G128" s="77">
        <v>8</v>
      </c>
      <c r="H128" s="77"/>
    </row>
    <row r="129" spans="1:8" x14ac:dyDescent="0.25">
      <c r="A129" s="245"/>
      <c r="B129" s="83" t="s">
        <v>272</v>
      </c>
      <c r="C129" s="77">
        <v>0</v>
      </c>
      <c r="D129" s="77"/>
      <c r="E129" s="77">
        <v>0</v>
      </c>
      <c r="F129" s="77"/>
      <c r="G129" s="77">
        <v>0</v>
      </c>
      <c r="H129" s="77"/>
    </row>
    <row r="130" spans="1:8" x14ac:dyDescent="0.25">
      <c r="A130" s="245"/>
      <c r="B130" s="83" t="s">
        <v>273</v>
      </c>
      <c r="C130" s="77">
        <v>0</v>
      </c>
      <c r="D130" s="77"/>
      <c r="E130" s="77">
        <v>0</v>
      </c>
      <c r="F130" s="77"/>
      <c r="G130" s="77">
        <v>0</v>
      </c>
      <c r="H130" s="77"/>
    </row>
    <row r="131" spans="1:8" x14ac:dyDescent="0.25">
      <c r="A131" s="245"/>
      <c r="B131" s="83" t="s">
        <v>274</v>
      </c>
      <c r="C131" s="77">
        <v>1</v>
      </c>
      <c r="D131" s="77"/>
      <c r="E131" s="77">
        <v>50</v>
      </c>
      <c r="F131" s="77"/>
      <c r="G131" s="77">
        <v>0</v>
      </c>
      <c r="H131" s="77"/>
    </row>
    <row r="132" spans="1:8" x14ac:dyDescent="0.25">
      <c r="A132" s="245"/>
      <c r="B132" s="83" t="s">
        <v>275</v>
      </c>
      <c r="C132" s="77">
        <v>0</v>
      </c>
      <c r="D132" s="77"/>
      <c r="E132" s="77">
        <v>0</v>
      </c>
      <c r="F132" s="77"/>
      <c r="G132" s="77">
        <v>0</v>
      </c>
      <c r="H132" s="77"/>
    </row>
    <row r="133" spans="1:8" x14ac:dyDescent="0.25">
      <c r="A133" s="245"/>
      <c r="B133" s="83" t="s">
        <v>276</v>
      </c>
      <c r="C133" s="77">
        <v>0</v>
      </c>
      <c r="D133" s="77"/>
      <c r="E133" s="77">
        <v>0</v>
      </c>
      <c r="F133" s="77"/>
      <c r="G133" s="77">
        <v>0</v>
      </c>
      <c r="H133" s="77"/>
    </row>
    <row r="134" spans="1:8" x14ac:dyDescent="0.25">
      <c r="A134" s="244" t="s">
        <v>119</v>
      </c>
      <c r="B134" s="82" t="s">
        <v>277</v>
      </c>
      <c r="C134" s="82">
        <f>SUM(C135:C159)</f>
        <v>395</v>
      </c>
      <c r="D134" s="82">
        <f t="shared" ref="D134:H134" si="5">SUM(D135:D159)</f>
        <v>0</v>
      </c>
      <c r="E134" s="82">
        <f t="shared" si="5"/>
        <v>3006</v>
      </c>
      <c r="F134" s="82">
        <f t="shared" si="5"/>
        <v>0</v>
      </c>
      <c r="G134" s="82">
        <f t="shared" si="5"/>
        <v>189770</v>
      </c>
      <c r="H134" s="82">
        <f t="shared" si="5"/>
        <v>0</v>
      </c>
    </row>
    <row r="135" spans="1:8" x14ac:dyDescent="0.25">
      <c r="A135" s="245"/>
      <c r="B135" s="83" t="s">
        <v>252</v>
      </c>
      <c r="C135" s="77">
        <v>1</v>
      </c>
      <c r="D135" s="77"/>
      <c r="E135" s="77">
        <v>1</v>
      </c>
      <c r="F135" s="77"/>
      <c r="G135" s="77">
        <v>1</v>
      </c>
      <c r="H135" s="77"/>
    </row>
    <row r="136" spans="1:8" x14ac:dyDescent="0.25">
      <c r="A136" s="245"/>
      <c r="B136" s="83" t="s">
        <v>253</v>
      </c>
      <c r="C136" s="77">
        <v>2</v>
      </c>
      <c r="D136" s="77"/>
      <c r="E136" s="77">
        <v>2</v>
      </c>
      <c r="F136" s="77"/>
      <c r="G136" s="77">
        <v>2</v>
      </c>
      <c r="H136" s="77"/>
    </row>
    <row r="137" spans="1:8" x14ac:dyDescent="0.25">
      <c r="A137" s="245"/>
      <c r="B137" s="83" t="s">
        <v>254</v>
      </c>
      <c r="C137" s="77">
        <v>5</v>
      </c>
      <c r="D137" s="77"/>
      <c r="E137" s="77">
        <v>63</v>
      </c>
      <c r="F137" s="77"/>
      <c r="G137" s="77">
        <v>186615</v>
      </c>
      <c r="H137" s="77"/>
    </row>
    <row r="138" spans="1:8" x14ac:dyDescent="0.25">
      <c r="A138" s="245"/>
      <c r="B138" s="83" t="s">
        <v>255</v>
      </c>
      <c r="C138" s="77">
        <v>0</v>
      </c>
      <c r="D138" s="77"/>
      <c r="E138" s="77">
        <v>0</v>
      </c>
      <c r="F138" s="77"/>
      <c r="G138" s="77">
        <v>0</v>
      </c>
      <c r="H138" s="77"/>
    </row>
    <row r="139" spans="1:8" x14ac:dyDescent="0.25">
      <c r="A139" s="245"/>
      <c r="B139" s="83" t="s">
        <v>256</v>
      </c>
      <c r="C139" s="77">
        <v>2</v>
      </c>
      <c r="D139" s="77"/>
      <c r="E139" s="77">
        <v>1</v>
      </c>
      <c r="F139" s="77"/>
      <c r="G139" s="77">
        <v>0</v>
      </c>
      <c r="H139" s="77"/>
    </row>
    <row r="140" spans="1:8" x14ac:dyDescent="0.25">
      <c r="A140" s="245"/>
      <c r="B140" s="83" t="s">
        <v>257</v>
      </c>
      <c r="C140" s="77">
        <v>1</v>
      </c>
      <c r="D140" s="77"/>
      <c r="E140" s="77">
        <v>7</v>
      </c>
      <c r="F140" s="77"/>
      <c r="G140" s="77">
        <v>2</v>
      </c>
      <c r="H140" s="77"/>
    </row>
    <row r="141" spans="1:8" x14ac:dyDescent="0.25">
      <c r="A141" s="245"/>
      <c r="B141" s="83" t="s">
        <v>258</v>
      </c>
      <c r="C141" s="77">
        <v>131</v>
      </c>
      <c r="D141" s="77"/>
      <c r="E141" s="77">
        <v>2639</v>
      </c>
      <c r="F141" s="77"/>
      <c r="G141" s="77">
        <v>0</v>
      </c>
      <c r="H141" s="77"/>
    </row>
    <row r="142" spans="1:8" x14ac:dyDescent="0.25">
      <c r="A142" s="245"/>
      <c r="B142" s="83" t="s">
        <v>259</v>
      </c>
      <c r="C142" s="77">
        <v>9</v>
      </c>
      <c r="D142" s="77"/>
      <c r="E142" s="77">
        <v>185</v>
      </c>
      <c r="F142" s="77"/>
      <c r="G142" s="77">
        <v>6</v>
      </c>
      <c r="H142" s="77"/>
    </row>
    <row r="143" spans="1:8" x14ac:dyDescent="0.25">
      <c r="A143" s="245"/>
      <c r="B143" s="83" t="s">
        <v>260</v>
      </c>
      <c r="C143" s="77">
        <v>3</v>
      </c>
      <c r="D143" s="77"/>
      <c r="E143" s="77">
        <v>3</v>
      </c>
      <c r="F143" s="77"/>
      <c r="G143" s="77">
        <v>3</v>
      </c>
      <c r="H143" s="77"/>
    </row>
    <row r="144" spans="1:8" x14ac:dyDescent="0.25">
      <c r="A144" s="245"/>
      <c r="B144" s="83" t="s">
        <v>261</v>
      </c>
      <c r="C144" s="77">
        <v>3</v>
      </c>
      <c r="D144" s="77"/>
      <c r="E144" s="77">
        <v>4</v>
      </c>
      <c r="F144" s="77"/>
      <c r="G144" s="77">
        <v>8</v>
      </c>
      <c r="H144" s="77"/>
    </row>
    <row r="145" spans="1:8" x14ac:dyDescent="0.25">
      <c r="A145" s="245"/>
      <c r="B145" s="83" t="s">
        <v>262</v>
      </c>
      <c r="C145" s="77">
        <v>0</v>
      </c>
      <c r="D145" s="77"/>
      <c r="E145" s="77">
        <v>0</v>
      </c>
      <c r="F145" s="77"/>
      <c r="G145" s="77">
        <v>0</v>
      </c>
      <c r="H145" s="77"/>
    </row>
    <row r="146" spans="1:8" x14ac:dyDescent="0.25">
      <c r="A146" s="245"/>
      <c r="B146" s="83" t="s">
        <v>263</v>
      </c>
      <c r="C146" s="77">
        <v>2</v>
      </c>
      <c r="D146" s="77"/>
      <c r="E146" s="77">
        <v>15</v>
      </c>
      <c r="F146" s="77"/>
      <c r="G146" s="77">
        <v>3119</v>
      </c>
      <c r="H146" s="77"/>
    </row>
    <row r="147" spans="1:8" x14ac:dyDescent="0.25">
      <c r="A147" s="245"/>
      <c r="B147" s="83" t="s">
        <v>264</v>
      </c>
      <c r="C147" s="77">
        <v>6</v>
      </c>
      <c r="D147" s="77"/>
      <c r="E147" s="77">
        <v>10</v>
      </c>
      <c r="F147" s="77"/>
      <c r="G147" s="77">
        <v>12</v>
      </c>
      <c r="H147" s="77"/>
    </row>
    <row r="148" spans="1:8" x14ac:dyDescent="0.25">
      <c r="A148" s="245"/>
      <c r="B148" s="83" t="s">
        <v>265</v>
      </c>
      <c r="C148" s="77">
        <v>1</v>
      </c>
      <c r="D148" s="77"/>
      <c r="E148" s="77">
        <v>2</v>
      </c>
      <c r="F148" s="77"/>
      <c r="G148" s="77">
        <v>2</v>
      </c>
      <c r="H148" s="77"/>
    </row>
    <row r="149" spans="1:8" x14ac:dyDescent="0.25">
      <c r="A149" s="245"/>
      <c r="B149" s="83" t="s">
        <v>266</v>
      </c>
      <c r="C149" s="77">
        <v>0</v>
      </c>
      <c r="D149" s="77"/>
      <c r="E149" s="77">
        <v>0</v>
      </c>
      <c r="F149" s="77"/>
      <c r="G149" s="77">
        <v>0</v>
      </c>
      <c r="H149" s="77"/>
    </row>
    <row r="150" spans="1:8" x14ac:dyDescent="0.25">
      <c r="A150" s="245"/>
      <c r="B150" s="83" t="s">
        <v>267</v>
      </c>
      <c r="C150" s="77">
        <v>0</v>
      </c>
      <c r="D150" s="77"/>
      <c r="E150" s="77">
        <v>0</v>
      </c>
      <c r="F150" s="77"/>
      <c r="G150" s="77">
        <v>0</v>
      </c>
      <c r="H150" s="77"/>
    </row>
    <row r="151" spans="1:8" x14ac:dyDescent="0.25">
      <c r="A151" s="245"/>
      <c r="B151" s="83" t="s">
        <v>268</v>
      </c>
      <c r="C151" s="77">
        <v>227</v>
      </c>
      <c r="D151" s="77"/>
      <c r="E151" s="77">
        <v>60</v>
      </c>
      <c r="F151" s="77"/>
      <c r="G151" s="77">
        <v>0</v>
      </c>
      <c r="H151" s="77"/>
    </row>
    <row r="152" spans="1:8" x14ac:dyDescent="0.25">
      <c r="A152" s="245"/>
      <c r="B152" s="83" t="s">
        <v>269</v>
      </c>
      <c r="C152" s="77">
        <v>0</v>
      </c>
      <c r="D152" s="77"/>
      <c r="E152" s="77">
        <v>0</v>
      </c>
      <c r="F152" s="77"/>
      <c r="G152" s="77">
        <v>0</v>
      </c>
      <c r="H152" s="77"/>
    </row>
    <row r="153" spans="1:8" x14ac:dyDescent="0.25">
      <c r="A153" s="245"/>
      <c r="B153" s="83" t="s">
        <v>270</v>
      </c>
      <c r="C153" s="77">
        <v>0</v>
      </c>
      <c r="D153" s="77"/>
      <c r="E153" s="77">
        <v>0</v>
      </c>
      <c r="F153" s="77"/>
      <c r="G153" s="77">
        <v>0</v>
      </c>
      <c r="H153" s="77"/>
    </row>
    <row r="154" spans="1:8" x14ac:dyDescent="0.25">
      <c r="A154" s="245"/>
      <c r="B154" s="83" t="s">
        <v>271</v>
      </c>
      <c r="C154" s="77">
        <v>0</v>
      </c>
      <c r="D154" s="77"/>
      <c r="E154" s="77">
        <v>0</v>
      </c>
      <c r="F154" s="77"/>
      <c r="G154" s="77">
        <v>0</v>
      </c>
      <c r="H154" s="77"/>
    </row>
    <row r="155" spans="1:8" x14ac:dyDescent="0.25">
      <c r="A155" s="245"/>
      <c r="B155" s="83" t="s">
        <v>272</v>
      </c>
      <c r="C155" s="77">
        <v>0</v>
      </c>
      <c r="D155" s="77"/>
      <c r="E155" s="77">
        <v>0</v>
      </c>
      <c r="F155" s="77"/>
      <c r="G155" s="77">
        <v>0</v>
      </c>
      <c r="H155" s="77"/>
    </row>
    <row r="156" spans="1:8" x14ac:dyDescent="0.25">
      <c r="A156" s="245"/>
      <c r="B156" s="83" t="s">
        <v>273</v>
      </c>
      <c r="C156" s="77">
        <v>2</v>
      </c>
      <c r="D156" s="77"/>
      <c r="E156" s="77">
        <v>14</v>
      </c>
      <c r="F156" s="77"/>
      <c r="G156" s="77">
        <v>0</v>
      </c>
      <c r="H156" s="77"/>
    </row>
    <row r="157" spans="1:8" x14ac:dyDescent="0.25">
      <c r="A157" s="245"/>
      <c r="B157" s="83" t="s">
        <v>274</v>
      </c>
      <c r="C157" s="77">
        <v>0</v>
      </c>
      <c r="D157" s="77"/>
      <c r="E157" s="77">
        <v>0</v>
      </c>
      <c r="F157" s="77"/>
      <c r="G157" s="77">
        <v>0</v>
      </c>
      <c r="H157" s="77"/>
    </row>
    <row r="158" spans="1:8" x14ac:dyDescent="0.25">
      <c r="A158" s="245"/>
      <c r="B158" s="83" t="s">
        <v>275</v>
      </c>
      <c r="C158" s="77">
        <v>0</v>
      </c>
      <c r="D158" s="77"/>
      <c r="E158" s="77">
        <v>0</v>
      </c>
      <c r="F158" s="77"/>
      <c r="G158" s="77">
        <v>0</v>
      </c>
      <c r="H158" s="77"/>
    </row>
    <row r="159" spans="1:8" x14ac:dyDescent="0.25">
      <c r="A159" s="245"/>
      <c r="B159" s="83" t="s">
        <v>276</v>
      </c>
      <c r="C159" s="77">
        <v>0</v>
      </c>
      <c r="D159" s="77"/>
      <c r="E159" s="77">
        <v>0</v>
      </c>
      <c r="F159" s="77"/>
      <c r="G159" s="77">
        <v>0</v>
      </c>
      <c r="H159" s="77"/>
    </row>
    <row r="160" spans="1:8" x14ac:dyDescent="0.25">
      <c r="A160" s="244" t="s">
        <v>120</v>
      </c>
      <c r="B160" s="82" t="s">
        <v>277</v>
      </c>
      <c r="C160" s="82">
        <f>SUM(C161:C185)</f>
        <v>1588</v>
      </c>
      <c r="D160" s="82">
        <f t="shared" ref="D160:H160" si="6">SUM(D161:D185)</f>
        <v>0</v>
      </c>
      <c r="E160" s="82">
        <f t="shared" si="6"/>
        <v>1880</v>
      </c>
      <c r="F160" s="82">
        <f t="shared" si="6"/>
        <v>0</v>
      </c>
      <c r="G160" s="82">
        <f t="shared" si="6"/>
        <v>26134</v>
      </c>
      <c r="H160" s="82">
        <f t="shared" si="6"/>
        <v>0</v>
      </c>
    </row>
    <row r="161" spans="1:8" x14ac:dyDescent="0.25">
      <c r="A161" s="245"/>
      <c r="B161" s="83" t="s">
        <v>252</v>
      </c>
      <c r="C161" s="77">
        <v>17</v>
      </c>
      <c r="D161" s="77"/>
      <c r="E161" s="77">
        <v>17</v>
      </c>
      <c r="F161" s="77"/>
      <c r="G161" s="77">
        <v>17</v>
      </c>
      <c r="H161" s="77"/>
    </row>
    <row r="162" spans="1:8" x14ac:dyDescent="0.25">
      <c r="A162" s="245"/>
      <c r="B162" s="83" t="s">
        <v>253</v>
      </c>
      <c r="C162" s="77">
        <v>0</v>
      </c>
      <c r="D162" s="77"/>
      <c r="E162" s="77">
        <v>0</v>
      </c>
      <c r="F162" s="77"/>
      <c r="G162" s="77">
        <v>0</v>
      </c>
      <c r="H162" s="77"/>
    </row>
    <row r="163" spans="1:8" x14ac:dyDescent="0.25">
      <c r="A163" s="245"/>
      <c r="B163" s="83" t="s">
        <v>254</v>
      </c>
      <c r="C163" s="77">
        <v>0</v>
      </c>
      <c r="D163" s="77"/>
      <c r="E163" s="77">
        <v>0</v>
      </c>
      <c r="F163" s="77"/>
      <c r="G163" s="77">
        <v>0</v>
      </c>
      <c r="H163" s="77"/>
    </row>
    <row r="164" spans="1:8" x14ac:dyDescent="0.25">
      <c r="A164" s="245"/>
      <c r="B164" s="83" t="s">
        <v>255</v>
      </c>
      <c r="C164" s="77">
        <v>0</v>
      </c>
      <c r="D164" s="77"/>
      <c r="E164" s="77">
        <v>0</v>
      </c>
      <c r="F164" s="77"/>
      <c r="G164" s="77">
        <v>0</v>
      </c>
      <c r="H164" s="77"/>
    </row>
    <row r="165" spans="1:8" x14ac:dyDescent="0.25">
      <c r="A165" s="245"/>
      <c r="B165" s="83" t="s">
        <v>256</v>
      </c>
      <c r="C165" s="77">
        <v>5</v>
      </c>
      <c r="D165" s="77"/>
      <c r="E165" s="77">
        <v>64</v>
      </c>
      <c r="F165" s="77"/>
      <c r="G165" s="77">
        <v>0</v>
      </c>
      <c r="H165" s="77"/>
    </row>
    <row r="166" spans="1:8" x14ac:dyDescent="0.25">
      <c r="A166" s="245"/>
      <c r="B166" s="83" t="s">
        <v>257</v>
      </c>
      <c r="C166" s="77">
        <v>1</v>
      </c>
      <c r="D166" s="77"/>
      <c r="E166" s="77">
        <v>2</v>
      </c>
      <c r="F166" s="77"/>
      <c r="G166" s="77">
        <v>0</v>
      </c>
      <c r="H166" s="77"/>
    </row>
    <row r="167" spans="1:8" x14ac:dyDescent="0.25">
      <c r="A167" s="245"/>
      <c r="B167" s="83" t="s">
        <v>258</v>
      </c>
      <c r="C167" s="77">
        <v>0</v>
      </c>
      <c r="D167" s="77"/>
      <c r="E167" s="77">
        <v>0</v>
      </c>
      <c r="F167" s="77"/>
      <c r="G167" s="77">
        <v>0</v>
      </c>
      <c r="H167" s="77"/>
    </row>
    <row r="168" spans="1:8" x14ac:dyDescent="0.25">
      <c r="A168" s="245"/>
      <c r="B168" s="83" t="s">
        <v>259</v>
      </c>
      <c r="C168" s="77">
        <v>0</v>
      </c>
      <c r="D168" s="77"/>
      <c r="E168" s="77">
        <v>0</v>
      </c>
      <c r="F168" s="77"/>
      <c r="G168" s="77">
        <v>0</v>
      </c>
      <c r="H168" s="77"/>
    </row>
    <row r="169" spans="1:8" x14ac:dyDescent="0.25">
      <c r="A169" s="245"/>
      <c r="B169" s="83" t="s">
        <v>260</v>
      </c>
      <c r="C169" s="77">
        <v>0</v>
      </c>
      <c r="D169" s="77"/>
      <c r="E169" s="77">
        <v>0</v>
      </c>
      <c r="F169" s="77"/>
      <c r="G169" s="77">
        <v>0</v>
      </c>
      <c r="H169" s="77"/>
    </row>
    <row r="170" spans="1:8" x14ac:dyDescent="0.25">
      <c r="A170" s="245"/>
      <c r="B170" s="83" t="s">
        <v>261</v>
      </c>
      <c r="C170" s="77">
        <v>0</v>
      </c>
      <c r="D170" s="77"/>
      <c r="E170" s="77">
        <v>0</v>
      </c>
      <c r="F170" s="77"/>
      <c r="G170" s="77">
        <v>0</v>
      </c>
      <c r="H170" s="77"/>
    </row>
    <row r="171" spans="1:8" x14ac:dyDescent="0.25">
      <c r="A171" s="245"/>
      <c r="B171" s="83" t="s">
        <v>262</v>
      </c>
      <c r="C171" s="77">
        <v>0</v>
      </c>
      <c r="D171" s="77"/>
      <c r="E171" s="77">
        <v>128</v>
      </c>
      <c r="F171" s="77"/>
      <c r="G171" s="77">
        <v>0</v>
      </c>
      <c r="H171" s="77"/>
    </row>
    <row r="172" spans="1:8" x14ac:dyDescent="0.25">
      <c r="A172" s="245"/>
      <c r="B172" s="83" t="s">
        <v>263</v>
      </c>
      <c r="C172" s="77">
        <v>12</v>
      </c>
      <c r="D172" s="77"/>
      <c r="E172" s="77">
        <v>1283</v>
      </c>
      <c r="F172" s="77"/>
      <c r="G172" s="77">
        <v>26067</v>
      </c>
      <c r="H172" s="77"/>
    </row>
    <row r="173" spans="1:8" x14ac:dyDescent="0.25">
      <c r="A173" s="245"/>
      <c r="B173" s="83" t="s">
        <v>264</v>
      </c>
      <c r="C173" s="77">
        <v>13</v>
      </c>
      <c r="D173" s="77"/>
      <c r="E173" s="77">
        <v>13</v>
      </c>
      <c r="F173" s="77"/>
      <c r="G173" s="77">
        <v>13</v>
      </c>
      <c r="H173" s="77"/>
    </row>
    <row r="174" spans="1:8" x14ac:dyDescent="0.25">
      <c r="A174" s="245"/>
      <c r="B174" s="83" t="s">
        <v>265</v>
      </c>
      <c r="C174" s="77">
        <v>0</v>
      </c>
      <c r="D174" s="77"/>
      <c r="E174" s="77">
        <v>0</v>
      </c>
      <c r="F174" s="77"/>
      <c r="G174" s="77">
        <v>0</v>
      </c>
      <c r="H174" s="77"/>
    </row>
    <row r="175" spans="1:8" x14ac:dyDescent="0.25">
      <c r="A175" s="245"/>
      <c r="B175" s="83" t="s">
        <v>266</v>
      </c>
      <c r="C175" s="77">
        <v>1</v>
      </c>
      <c r="D175" s="77"/>
      <c r="E175" s="77">
        <v>2</v>
      </c>
      <c r="F175" s="77"/>
      <c r="G175" s="77">
        <v>0</v>
      </c>
      <c r="H175" s="77"/>
    </row>
    <row r="176" spans="1:8" x14ac:dyDescent="0.25">
      <c r="A176" s="245"/>
      <c r="B176" s="83" t="s">
        <v>267</v>
      </c>
      <c r="C176" s="77">
        <v>0</v>
      </c>
      <c r="D176" s="77"/>
      <c r="E176" s="77">
        <v>0</v>
      </c>
      <c r="F176" s="77"/>
      <c r="G176" s="77">
        <v>0</v>
      </c>
      <c r="H176" s="77"/>
    </row>
    <row r="177" spans="1:8" x14ac:dyDescent="0.25">
      <c r="A177" s="245"/>
      <c r="B177" s="83" t="s">
        <v>268</v>
      </c>
      <c r="C177" s="77">
        <v>1528</v>
      </c>
      <c r="D177" s="77"/>
      <c r="E177" s="77">
        <v>360</v>
      </c>
      <c r="F177" s="77"/>
      <c r="G177" s="77">
        <v>27</v>
      </c>
      <c r="H177" s="77"/>
    </row>
    <row r="178" spans="1:8" x14ac:dyDescent="0.25">
      <c r="A178" s="245"/>
      <c r="B178" s="83" t="s">
        <v>269</v>
      </c>
      <c r="C178" s="77">
        <v>0</v>
      </c>
      <c r="D178" s="77"/>
      <c r="E178" s="77">
        <v>0</v>
      </c>
      <c r="F178" s="77"/>
      <c r="G178" s="77">
        <v>0</v>
      </c>
      <c r="H178" s="77"/>
    </row>
    <row r="179" spans="1:8" x14ac:dyDescent="0.25">
      <c r="A179" s="245"/>
      <c r="B179" s="83" t="s">
        <v>270</v>
      </c>
      <c r="C179" s="77">
        <v>0</v>
      </c>
      <c r="D179" s="77"/>
      <c r="E179" s="77">
        <v>0</v>
      </c>
      <c r="F179" s="77"/>
      <c r="G179" s="77">
        <v>0</v>
      </c>
      <c r="H179" s="77"/>
    </row>
    <row r="180" spans="1:8" x14ac:dyDescent="0.25">
      <c r="A180" s="245"/>
      <c r="B180" s="83" t="s">
        <v>271</v>
      </c>
      <c r="C180" s="77">
        <v>0</v>
      </c>
      <c r="D180" s="77"/>
      <c r="E180" s="77">
        <v>0</v>
      </c>
      <c r="F180" s="77"/>
      <c r="G180" s="77">
        <v>0</v>
      </c>
      <c r="H180" s="77"/>
    </row>
    <row r="181" spans="1:8" x14ac:dyDescent="0.25">
      <c r="A181" s="245"/>
      <c r="B181" s="83" t="s">
        <v>272</v>
      </c>
      <c r="C181" s="77">
        <v>9</v>
      </c>
      <c r="D181" s="77"/>
      <c r="E181" s="77">
        <v>9</v>
      </c>
      <c r="F181" s="77"/>
      <c r="G181" s="77">
        <v>10</v>
      </c>
      <c r="H181" s="77"/>
    </row>
    <row r="182" spans="1:8" x14ac:dyDescent="0.25">
      <c r="A182" s="245"/>
      <c r="B182" s="83" t="s">
        <v>273</v>
      </c>
      <c r="C182" s="77">
        <v>0</v>
      </c>
      <c r="D182" s="77"/>
      <c r="E182" s="77">
        <v>0</v>
      </c>
      <c r="F182" s="77"/>
      <c r="G182" s="77">
        <v>0</v>
      </c>
      <c r="H182" s="77"/>
    </row>
    <row r="183" spans="1:8" x14ac:dyDescent="0.25">
      <c r="A183" s="245"/>
      <c r="B183" s="83" t="s">
        <v>274</v>
      </c>
      <c r="C183" s="77">
        <v>2</v>
      </c>
      <c r="D183" s="77"/>
      <c r="E183" s="77">
        <v>2</v>
      </c>
      <c r="F183" s="77"/>
      <c r="G183" s="77">
        <v>0</v>
      </c>
      <c r="H183" s="77"/>
    </row>
    <row r="184" spans="1:8" x14ac:dyDescent="0.25">
      <c r="A184" s="245"/>
      <c r="B184" s="83" t="s">
        <v>275</v>
      </c>
      <c r="C184" s="77">
        <v>0</v>
      </c>
      <c r="D184" s="77"/>
      <c r="E184" s="77">
        <v>0</v>
      </c>
      <c r="F184" s="77"/>
      <c r="G184" s="77">
        <v>0</v>
      </c>
      <c r="H184" s="77"/>
    </row>
    <row r="185" spans="1:8" x14ac:dyDescent="0.25">
      <c r="A185" s="245"/>
      <c r="B185" s="83" t="s">
        <v>276</v>
      </c>
      <c r="C185" s="77">
        <v>0</v>
      </c>
      <c r="D185" s="77"/>
      <c r="E185" s="77">
        <v>0</v>
      </c>
      <c r="F185" s="77"/>
      <c r="G185" s="77">
        <v>0</v>
      </c>
      <c r="H185" s="77"/>
    </row>
    <row r="186" spans="1:8" x14ac:dyDescent="0.25">
      <c r="A186" s="244" t="s">
        <v>121</v>
      </c>
      <c r="B186" s="177" t="s">
        <v>277</v>
      </c>
      <c r="C186" s="177">
        <f>SUM(C187:C211)</f>
        <v>2221</v>
      </c>
      <c r="D186" s="177">
        <f t="shared" ref="D186:H186" si="7">SUM(D187:D211)</f>
        <v>0</v>
      </c>
      <c r="E186" s="177">
        <f t="shared" si="7"/>
        <v>9121</v>
      </c>
      <c r="F186" s="177">
        <f t="shared" si="7"/>
        <v>0</v>
      </c>
      <c r="G186" s="177">
        <f t="shared" si="7"/>
        <v>154252</v>
      </c>
      <c r="H186" s="177">
        <f t="shared" si="7"/>
        <v>0</v>
      </c>
    </row>
    <row r="187" spans="1:8" x14ac:dyDescent="0.25">
      <c r="A187" s="245"/>
      <c r="B187" s="83" t="s">
        <v>252</v>
      </c>
      <c r="C187" s="77">
        <v>144</v>
      </c>
      <c r="D187" s="77"/>
      <c r="E187" s="77">
        <v>144</v>
      </c>
      <c r="F187" s="77"/>
      <c r="G187" s="77">
        <v>144</v>
      </c>
      <c r="H187" s="77"/>
    </row>
    <row r="188" spans="1:8" x14ac:dyDescent="0.25">
      <c r="A188" s="245"/>
      <c r="B188" s="83" t="s">
        <v>253</v>
      </c>
      <c r="C188" s="77">
        <v>26</v>
      </c>
      <c r="D188" s="77"/>
      <c r="E188" s="77">
        <v>26</v>
      </c>
      <c r="F188" s="77"/>
      <c r="G188" s="77">
        <v>26</v>
      </c>
      <c r="H188" s="77"/>
    </row>
    <row r="189" spans="1:8" x14ac:dyDescent="0.25">
      <c r="A189" s="245"/>
      <c r="B189" s="83" t="s">
        <v>254</v>
      </c>
      <c r="C189" s="77">
        <v>32</v>
      </c>
      <c r="D189" s="77"/>
      <c r="E189" s="77">
        <v>489</v>
      </c>
      <c r="F189" s="77"/>
      <c r="G189" s="77">
        <v>7997</v>
      </c>
      <c r="H189" s="77"/>
    </row>
    <row r="190" spans="1:8" x14ac:dyDescent="0.25">
      <c r="A190" s="245"/>
      <c r="B190" s="83" t="s">
        <v>255</v>
      </c>
      <c r="C190" s="77">
        <v>0</v>
      </c>
      <c r="D190" s="77"/>
      <c r="E190" s="77">
        <v>0</v>
      </c>
      <c r="F190" s="77"/>
      <c r="G190" s="77">
        <v>0</v>
      </c>
      <c r="H190" s="77"/>
    </row>
    <row r="191" spans="1:8" x14ac:dyDescent="0.25">
      <c r="A191" s="245"/>
      <c r="B191" s="83" t="s">
        <v>256</v>
      </c>
      <c r="C191" s="77">
        <v>18</v>
      </c>
      <c r="D191" s="77"/>
      <c r="E191" s="77">
        <v>182</v>
      </c>
      <c r="F191" s="77"/>
      <c r="G191" s="77">
        <v>0</v>
      </c>
      <c r="H191" s="77"/>
    </row>
    <row r="192" spans="1:8" x14ac:dyDescent="0.25">
      <c r="A192" s="245"/>
      <c r="B192" s="83" t="s">
        <v>257</v>
      </c>
      <c r="C192" s="77">
        <v>4</v>
      </c>
      <c r="D192" s="77"/>
      <c r="E192" s="77">
        <v>37</v>
      </c>
      <c r="F192" s="77"/>
      <c r="G192" s="77">
        <v>0</v>
      </c>
      <c r="H192" s="77"/>
    </row>
    <row r="193" spans="1:8" x14ac:dyDescent="0.25">
      <c r="A193" s="245"/>
      <c r="B193" s="83" t="s">
        <v>258</v>
      </c>
      <c r="C193" s="77">
        <v>18</v>
      </c>
      <c r="D193" s="77"/>
      <c r="E193" s="77">
        <v>3116</v>
      </c>
      <c r="F193" s="77"/>
      <c r="G193" s="77">
        <v>3050</v>
      </c>
      <c r="H193" s="77"/>
    </row>
    <row r="194" spans="1:8" x14ac:dyDescent="0.25">
      <c r="A194" s="245"/>
      <c r="B194" s="83" t="s">
        <v>259</v>
      </c>
      <c r="C194" s="77">
        <v>3</v>
      </c>
      <c r="D194" s="77"/>
      <c r="E194" s="77">
        <v>14</v>
      </c>
      <c r="F194" s="77"/>
      <c r="G194" s="77">
        <v>283</v>
      </c>
      <c r="H194" s="77"/>
    </row>
    <row r="195" spans="1:8" x14ac:dyDescent="0.25">
      <c r="A195" s="245"/>
      <c r="B195" s="83" t="s">
        <v>260</v>
      </c>
      <c r="C195" s="77">
        <v>2</v>
      </c>
      <c r="D195" s="77"/>
      <c r="E195" s="77">
        <v>3</v>
      </c>
      <c r="F195" s="77"/>
      <c r="G195" s="77">
        <v>3</v>
      </c>
      <c r="H195" s="77"/>
    </row>
    <row r="196" spans="1:8" x14ac:dyDescent="0.25">
      <c r="A196" s="245"/>
      <c r="B196" s="83" t="s">
        <v>261</v>
      </c>
      <c r="C196" s="77">
        <v>2</v>
      </c>
      <c r="D196" s="77"/>
      <c r="E196" s="77">
        <v>13</v>
      </c>
      <c r="F196" s="77"/>
      <c r="G196" s="77">
        <v>4</v>
      </c>
      <c r="H196" s="77"/>
    </row>
    <row r="197" spans="1:8" x14ac:dyDescent="0.25">
      <c r="A197" s="245"/>
      <c r="B197" s="83" t="s">
        <v>262</v>
      </c>
      <c r="C197" s="77">
        <v>0</v>
      </c>
      <c r="D197" s="77"/>
      <c r="E197" s="77">
        <v>0</v>
      </c>
      <c r="F197" s="77"/>
      <c r="G197" s="77">
        <v>0</v>
      </c>
      <c r="H197" s="77"/>
    </row>
    <row r="198" spans="1:8" x14ac:dyDescent="0.25">
      <c r="A198" s="245"/>
      <c r="B198" s="83" t="s">
        <v>263</v>
      </c>
      <c r="C198" s="77">
        <v>50</v>
      </c>
      <c r="D198" s="77"/>
      <c r="E198" s="77">
        <v>1067</v>
      </c>
      <c r="F198" s="77"/>
      <c r="G198" s="77">
        <v>140470</v>
      </c>
      <c r="H198" s="77"/>
    </row>
    <row r="199" spans="1:8" x14ac:dyDescent="0.25">
      <c r="A199" s="245"/>
      <c r="B199" s="83" t="s">
        <v>264</v>
      </c>
      <c r="C199" s="77">
        <v>27</v>
      </c>
      <c r="D199" s="77"/>
      <c r="E199" s="77">
        <v>43</v>
      </c>
      <c r="F199" s="77"/>
      <c r="G199" s="77">
        <v>126</v>
      </c>
      <c r="H199" s="77"/>
    </row>
    <row r="200" spans="1:8" x14ac:dyDescent="0.25">
      <c r="A200" s="245"/>
      <c r="B200" s="83" t="s">
        <v>265</v>
      </c>
      <c r="C200" s="77">
        <v>0</v>
      </c>
      <c r="D200" s="77"/>
      <c r="E200" s="77">
        <v>4</v>
      </c>
      <c r="F200" s="77"/>
      <c r="G200" s="77">
        <v>4</v>
      </c>
      <c r="H200" s="77"/>
    </row>
    <row r="201" spans="1:8" x14ac:dyDescent="0.25">
      <c r="A201" s="245"/>
      <c r="B201" s="83" t="s">
        <v>266</v>
      </c>
      <c r="C201" s="77">
        <v>0</v>
      </c>
      <c r="D201" s="77"/>
      <c r="E201" s="77">
        <v>0</v>
      </c>
      <c r="F201" s="77"/>
      <c r="G201" s="77">
        <v>0</v>
      </c>
      <c r="H201" s="77"/>
    </row>
    <row r="202" spans="1:8" x14ac:dyDescent="0.25">
      <c r="A202" s="245"/>
      <c r="B202" s="83" t="s">
        <v>267</v>
      </c>
      <c r="C202" s="77">
        <v>0</v>
      </c>
      <c r="D202" s="77"/>
      <c r="E202" s="77">
        <v>0</v>
      </c>
      <c r="F202" s="77"/>
      <c r="G202" s="77">
        <v>0</v>
      </c>
      <c r="H202" s="77"/>
    </row>
    <row r="203" spans="1:8" x14ac:dyDescent="0.25">
      <c r="A203" s="245"/>
      <c r="B203" s="83" t="s">
        <v>268</v>
      </c>
      <c r="C203" s="77">
        <v>1867</v>
      </c>
      <c r="D203" s="77"/>
      <c r="E203" s="77">
        <v>3085</v>
      </c>
      <c r="F203" s="77"/>
      <c r="G203" s="77">
        <v>7</v>
      </c>
      <c r="H203" s="77"/>
    </row>
    <row r="204" spans="1:8" x14ac:dyDescent="0.25">
      <c r="A204" s="245"/>
      <c r="B204" s="83" t="s">
        <v>269</v>
      </c>
      <c r="C204" s="77">
        <v>1</v>
      </c>
      <c r="D204" s="77"/>
      <c r="E204" s="77">
        <v>1</v>
      </c>
      <c r="F204" s="77"/>
      <c r="G204" s="77">
        <v>1</v>
      </c>
      <c r="H204" s="77"/>
    </row>
    <row r="205" spans="1:8" x14ac:dyDescent="0.25">
      <c r="A205" s="245"/>
      <c r="B205" s="83" t="s">
        <v>270</v>
      </c>
      <c r="C205" s="77">
        <v>0</v>
      </c>
      <c r="D205" s="77"/>
      <c r="E205" s="77">
        <v>0</v>
      </c>
      <c r="F205" s="77"/>
      <c r="G205" s="77">
        <v>0</v>
      </c>
      <c r="H205" s="77"/>
    </row>
    <row r="206" spans="1:8" x14ac:dyDescent="0.25">
      <c r="A206" s="245"/>
      <c r="B206" s="83" t="s">
        <v>271</v>
      </c>
      <c r="C206" s="77">
        <v>3</v>
      </c>
      <c r="D206" s="77"/>
      <c r="E206" s="77">
        <v>187</v>
      </c>
      <c r="F206" s="77"/>
      <c r="G206" s="77">
        <v>248</v>
      </c>
      <c r="H206" s="77"/>
    </row>
    <row r="207" spans="1:8" x14ac:dyDescent="0.25">
      <c r="A207" s="245"/>
      <c r="B207" s="83" t="s">
        <v>272</v>
      </c>
      <c r="C207" s="77">
        <v>10</v>
      </c>
      <c r="D207" s="77"/>
      <c r="E207" s="77">
        <v>10</v>
      </c>
      <c r="F207" s="77"/>
      <c r="G207" s="77">
        <v>10</v>
      </c>
      <c r="H207" s="77"/>
    </row>
    <row r="208" spans="1:8" x14ac:dyDescent="0.25">
      <c r="A208" s="245"/>
      <c r="B208" s="83" t="s">
        <v>273</v>
      </c>
      <c r="C208" s="77">
        <v>0</v>
      </c>
      <c r="D208" s="77"/>
      <c r="E208" s="77">
        <v>2</v>
      </c>
      <c r="F208" s="77"/>
      <c r="G208" s="77">
        <v>0</v>
      </c>
      <c r="H208" s="77"/>
    </row>
    <row r="209" spans="1:8" x14ac:dyDescent="0.25">
      <c r="A209" s="245"/>
      <c r="B209" s="83" t="s">
        <v>274</v>
      </c>
      <c r="C209" s="77">
        <v>14</v>
      </c>
      <c r="D209" s="77"/>
      <c r="E209" s="77">
        <v>698</v>
      </c>
      <c r="F209" s="77"/>
      <c r="G209" s="77">
        <v>1879</v>
      </c>
      <c r="H209" s="77"/>
    </row>
    <row r="210" spans="1:8" x14ac:dyDescent="0.25">
      <c r="A210" s="245"/>
      <c r="B210" s="83" t="s">
        <v>275</v>
      </c>
      <c r="C210" s="77">
        <v>0</v>
      </c>
      <c r="D210" s="77"/>
      <c r="E210" s="77">
        <v>0</v>
      </c>
      <c r="F210" s="77"/>
      <c r="G210" s="77">
        <v>0</v>
      </c>
      <c r="H210" s="77"/>
    </row>
    <row r="211" spans="1:8" x14ac:dyDescent="0.25">
      <c r="A211" s="245"/>
      <c r="B211" s="83" t="s">
        <v>276</v>
      </c>
      <c r="C211" s="77">
        <v>0</v>
      </c>
      <c r="D211" s="77"/>
      <c r="E211" s="77">
        <v>0</v>
      </c>
      <c r="F211" s="77"/>
      <c r="G211" s="77">
        <v>0</v>
      </c>
      <c r="H211" s="77"/>
    </row>
    <row r="212" spans="1:8" x14ac:dyDescent="0.25">
      <c r="A212" s="246" t="s">
        <v>612</v>
      </c>
      <c r="B212" s="82" t="s">
        <v>277</v>
      </c>
      <c r="C212" s="82">
        <f>SUM(C213:C237)</f>
        <v>0</v>
      </c>
      <c r="D212" s="82">
        <f t="shared" ref="D212:H212" si="8">SUM(D213:D237)</f>
        <v>0</v>
      </c>
      <c r="E212" s="82">
        <f t="shared" si="8"/>
        <v>0</v>
      </c>
      <c r="F212" s="82">
        <f t="shared" si="8"/>
        <v>0</v>
      </c>
      <c r="G212" s="82">
        <f t="shared" si="8"/>
        <v>0</v>
      </c>
      <c r="H212" s="82">
        <f t="shared" si="8"/>
        <v>0</v>
      </c>
    </row>
    <row r="213" spans="1:8" x14ac:dyDescent="0.25">
      <c r="A213" s="247"/>
      <c r="B213" s="83" t="s">
        <v>252</v>
      </c>
      <c r="C213" s="77">
        <v>0</v>
      </c>
      <c r="D213" s="77"/>
      <c r="E213" s="77">
        <v>0</v>
      </c>
      <c r="F213" s="77"/>
      <c r="G213" s="77">
        <v>0</v>
      </c>
      <c r="H213" s="77"/>
    </row>
    <row r="214" spans="1:8" x14ac:dyDescent="0.25">
      <c r="A214" s="247"/>
      <c r="B214" s="83" t="s">
        <v>253</v>
      </c>
      <c r="C214" s="77">
        <v>0</v>
      </c>
      <c r="D214" s="77"/>
      <c r="E214" s="77">
        <v>0</v>
      </c>
      <c r="F214" s="77"/>
      <c r="G214" s="77">
        <v>0</v>
      </c>
      <c r="H214" s="77"/>
    </row>
    <row r="215" spans="1:8" x14ac:dyDescent="0.25">
      <c r="A215" s="247"/>
      <c r="B215" s="83" t="s">
        <v>254</v>
      </c>
      <c r="C215" s="77">
        <v>0</v>
      </c>
      <c r="D215" s="77"/>
      <c r="E215" s="77">
        <v>0</v>
      </c>
      <c r="F215" s="77"/>
      <c r="G215" s="77">
        <v>0</v>
      </c>
      <c r="H215" s="77"/>
    </row>
    <row r="216" spans="1:8" x14ac:dyDescent="0.25">
      <c r="A216" s="247"/>
      <c r="B216" s="83" t="s">
        <v>255</v>
      </c>
      <c r="C216" s="77">
        <v>0</v>
      </c>
      <c r="D216" s="77"/>
      <c r="E216" s="77">
        <v>0</v>
      </c>
      <c r="F216" s="77"/>
      <c r="G216" s="77">
        <v>0</v>
      </c>
      <c r="H216" s="77"/>
    </row>
    <row r="217" spans="1:8" x14ac:dyDescent="0.25">
      <c r="A217" s="247"/>
      <c r="B217" s="83" t="s">
        <v>256</v>
      </c>
      <c r="C217" s="77">
        <v>0</v>
      </c>
      <c r="D217" s="77"/>
      <c r="E217" s="77">
        <v>0</v>
      </c>
      <c r="F217" s="77"/>
      <c r="G217" s="77">
        <v>0</v>
      </c>
      <c r="H217" s="77"/>
    </row>
    <row r="218" spans="1:8" x14ac:dyDescent="0.25">
      <c r="A218" s="247"/>
      <c r="B218" s="83" t="s">
        <v>257</v>
      </c>
      <c r="C218" s="77">
        <v>0</v>
      </c>
      <c r="D218" s="77"/>
      <c r="E218" s="77">
        <v>0</v>
      </c>
      <c r="F218" s="77"/>
      <c r="G218" s="77">
        <v>0</v>
      </c>
      <c r="H218" s="77"/>
    </row>
    <row r="219" spans="1:8" x14ac:dyDescent="0.25">
      <c r="A219" s="247"/>
      <c r="B219" s="83" t="s">
        <v>258</v>
      </c>
      <c r="C219" s="77">
        <v>0</v>
      </c>
      <c r="D219" s="77"/>
      <c r="E219" s="77">
        <v>0</v>
      </c>
      <c r="F219" s="77"/>
      <c r="G219" s="77">
        <v>0</v>
      </c>
      <c r="H219" s="77"/>
    </row>
    <row r="220" spans="1:8" x14ac:dyDescent="0.25">
      <c r="A220" s="247"/>
      <c r="B220" s="83" t="s">
        <v>259</v>
      </c>
      <c r="C220" s="77">
        <v>0</v>
      </c>
      <c r="D220" s="77"/>
      <c r="E220" s="77">
        <v>0</v>
      </c>
      <c r="F220" s="77"/>
      <c r="G220" s="77">
        <v>0</v>
      </c>
      <c r="H220" s="77"/>
    </row>
    <row r="221" spans="1:8" x14ac:dyDescent="0.25">
      <c r="A221" s="247"/>
      <c r="B221" s="83" t="s">
        <v>260</v>
      </c>
      <c r="C221" s="77">
        <v>0</v>
      </c>
      <c r="D221" s="77"/>
      <c r="E221" s="77">
        <v>0</v>
      </c>
      <c r="F221" s="77"/>
      <c r="G221" s="77">
        <v>0</v>
      </c>
      <c r="H221" s="77"/>
    </row>
    <row r="222" spans="1:8" x14ac:dyDescent="0.25">
      <c r="A222" s="247"/>
      <c r="B222" s="83" t="s">
        <v>261</v>
      </c>
      <c r="C222" s="77">
        <v>0</v>
      </c>
      <c r="D222" s="77"/>
      <c r="E222" s="77">
        <v>0</v>
      </c>
      <c r="F222" s="77"/>
      <c r="G222" s="77">
        <v>0</v>
      </c>
      <c r="H222" s="77"/>
    </row>
    <row r="223" spans="1:8" x14ac:dyDescent="0.25">
      <c r="A223" s="247"/>
      <c r="B223" s="83" t="s">
        <v>262</v>
      </c>
      <c r="C223" s="77">
        <v>0</v>
      </c>
      <c r="D223" s="77"/>
      <c r="E223" s="77">
        <v>0</v>
      </c>
      <c r="F223" s="77"/>
      <c r="G223" s="77">
        <v>0</v>
      </c>
      <c r="H223" s="77"/>
    </row>
    <row r="224" spans="1:8" x14ac:dyDescent="0.25">
      <c r="A224" s="247"/>
      <c r="B224" s="83" t="s">
        <v>263</v>
      </c>
      <c r="C224" s="77">
        <v>0</v>
      </c>
      <c r="D224" s="77"/>
      <c r="E224" s="77">
        <v>0</v>
      </c>
      <c r="F224" s="77"/>
      <c r="G224" s="77">
        <v>0</v>
      </c>
      <c r="H224" s="77"/>
    </row>
    <row r="225" spans="1:8" x14ac:dyDescent="0.25">
      <c r="A225" s="247"/>
      <c r="B225" s="83" t="s">
        <v>264</v>
      </c>
      <c r="C225" s="77">
        <v>0</v>
      </c>
      <c r="D225" s="77"/>
      <c r="E225" s="77">
        <v>0</v>
      </c>
      <c r="F225" s="77"/>
      <c r="G225" s="77">
        <v>0</v>
      </c>
      <c r="H225" s="77"/>
    </row>
    <row r="226" spans="1:8" x14ac:dyDescent="0.25">
      <c r="A226" s="247"/>
      <c r="B226" s="83" t="s">
        <v>265</v>
      </c>
      <c r="C226" s="77">
        <v>0</v>
      </c>
      <c r="D226" s="77"/>
      <c r="E226" s="77">
        <v>0</v>
      </c>
      <c r="F226" s="77"/>
      <c r="G226" s="77">
        <v>0</v>
      </c>
      <c r="H226" s="77"/>
    </row>
    <row r="227" spans="1:8" x14ac:dyDescent="0.25">
      <c r="A227" s="247"/>
      <c r="B227" s="83" t="s">
        <v>266</v>
      </c>
      <c r="C227" s="77">
        <v>0</v>
      </c>
      <c r="D227" s="77"/>
      <c r="E227" s="77">
        <v>0</v>
      </c>
      <c r="F227" s="77"/>
      <c r="G227" s="77">
        <v>0</v>
      </c>
      <c r="H227" s="77"/>
    </row>
    <row r="228" spans="1:8" x14ac:dyDescent="0.25">
      <c r="A228" s="247"/>
      <c r="B228" s="83" t="s">
        <v>267</v>
      </c>
      <c r="C228" s="77">
        <v>0</v>
      </c>
      <c r="D228" s="77"/>
      <c r="E228" s="77">
        <v>0</v>
      </c>
      <c r="F228" s="77"/>
      <c r="G228" s="77">
        <v>0</v>
      </c>
      <c r="H228" s="77"/>
    </row>
    <row r="229" spans="1:8" x14ac:dyDescent="0.25">
      <c r="A229" s="247"/>
      <c r="B229" s="83" t="s">
        <v>268</v>
      </c>
      <c r="C229" s="77">
        <v>0</v>
      </c>
      <c r="D229" s="77"/>
      <c r="E229" s="77">
        <v>0</v>
      </c>
      <c r="F229" s="77"/>
      <c r="G229" s="77">
        <v>0</v>
      </c>
      <c r="H229" s="77"/>
    </row>
    <row r="230" spans="1:8" x14ac:dyDescent="0.25">
      <c r="A230" s="247"/>
      <c r="B230" s="83" t="s">
        <v>269</v>
      </c>
      <c r="C230" s="77">
        <v>0</v>
      </c>
      <c r="D230" s="77"/>
      <c r="E230" s="77">
        <v>0</v>
      </c>
      <c r="F230" s="77"/>
      <c r="G230" s="77">
        <v>0</v>
      </c>
      <c r="H230" s="77"/>
    </row>
    <row r="231" spans="1:8" x14ac:dyDescent="0.25">
      <c r="A231" s="247"/>
      <c r="B231" s="83" t="s">
        <v>270</v>
      </c>
      <c r="C231" s="77">
        <v>0</v>
      </c>
      <c r="D231" s="77"/>
      <c r="E231" s="77">
        <v>0</v>
      </c>
      <c r="F231" s="77"/>
      <c r="G231" s="77">
        <v>0</v>
      </c>
      <c r="H231" s="77"/>
    </row>
    <row r="232" spans="1:8" x14ac:dyDescent="0.25">
      <c r="A232" s="247"/>
      <c r="B232" s="83" t="s">
        <v>271</v>
      </c>
      <c r="C232" s="77">
        <v>0</v>
      </c>
      <c r="D232" s="77"/>
      <c r="E232" s="77">
        <v>0</v>
      </c>
      <c r="F232" s="77"/>
      <c r="G232" s="77">
        <v>0</v>
      </c>
      <c r="H232" s="77"/>
    </row>
    <row r="233" spans="1:8" x14ac:dyDescent="0.25">
      <c r="A233" s="247"/>
      <c r="B233" s="83" t="s">
        <v>272</v>
      </c>
      <c r="C233" s="77">
        <v>0</v>
      </c>
      <c r="D233" s="77"/>
      <c r="E233" s="77">
        <v>0</v>
      </c>
      <c r="F233" s="77"/>
      <c r="G233" s="77">
        <v>0</v>
      </c>
      <c r="H233" s="77"/>
    </row>
    <row r="234" spans="1:8" x14ac:dyDescent="0.25">
      <c r="A234" s="247"/>
      <c r="B234" s="83" t="s">
        <v>273</v>
      </c>
      <c r="C234" s="77">
        <v>0</v>
      </c>
      <c r="D234" s="77"/>
      <c r="E234" s="77">
        <v>0</v>
      </c>
      <c r="F234" s="77"/>
      <c r="G234" s="77">
        <v>0</v>
      </c>
      <c r="H234" s="77"/>
    </row>
    <row r="235" spans="1:8" x14ac:dyDescent="0.25">
      <c r="A235" s="247"/>
      <c r="B235" s="83" t="s">
        <v>274</v>
      </c>
      <c r="C235" s="77">
        <v>0</v>
      </c>
      <c r="D235" s="77"/>
      <c r="E235" s="77">
        <v>0</v>
      </c>
      <c r="F235" s="77"/>
      <c r="G235" s="77">
        <v>0</v>
      </c>
      <c r="H235" s="77"/>
    </row>
    <row r="236" spans="1:8" x14ac:dyDescent="0.25">
      <c r="A236" s="247"/>
      <c r="B236" s="83" t="s">
        <v>275</v>
      </c>
      <c r="C236" s="77">
        <v>0</v>
      </c>
      <c r="D236" s="77"/>
      <c r="E236" s="77">
        <v>0</v>
      </c>
      <c r="F236" s="77"/>
      <c r="G236" s="77">
        <v>0</v>
      </c>
      <c r="H236" s="77"/>
    </row>
    <row r="237" spans="1:8" x14ac:dyDescent="0.25">
      <c r="A237" s="247"/>
      <c r="B237" s="83" t="s">
        <v>276</v>
      </c>
      <c r="C237" s="77">
        <v>0</v>
      </c>
      <c r="D237" s="77"/>
      <c r="E237" s="77">
        <v>0</v>
      </c>
      <c r="F237" s="77"/>
      <c r="G237" s="77">
        <v>0</v>
      </c>
      <c r="H237" s="77"/>
    </row>
    <row r="238" spans="1:8" x14ac:dyDescent="0.25">
      <c r="A238" s="243" t="s">
        <v>278</v>
      </c>
      <c r="B238" s="243"/>
      <c r="C238" s="81">
        <f t="shared" ref="C238:H238" si="9">SUM(C212,C160,C134,C108,C82,C56,C30,C4)</f>
        <v>5834</v>
      </c>
      <c r="D238" s="81">
        <f t="shared" si="9"/>
        <v>0</v>
      </c>
      <c r="E238" s="81">
        <f t="shared" si="9"/>
        <v>73361</v>
      </c>
      <c r="F238" s="81">
        <f t="shared" si="9"/>
        <v>0</v>
      </c>
      <c r="G238" s="81">
        <f t="shared" si="9"/>
        <v>1188966</v>
      </c>
      <c r="H238" s="81">
        <f t="shared" si="9"/>
        <v>0</v>
      </c>
    </row>
  </sheetData>
  <mergeCells count="16">
    <mergeCell ref="A238:B238"/>
    <mergeCell ref="A1:A3"/>
    <mergeCell ref="B1:B3"/>
    <mergeCell ref="C1:D2"/>
    <mergeCell ref="E1:H1"/>
    <mergeCell ref="E2:F2"/>
    <mergeCell ref="G2:H2"/>
    <mergeCell ref="A134:A159"/>
    <mergeCell ref="A160:A185"/>
    <mergeCell ref="A212:A237"/>
    <mergeCell ref="A4:A29"/>
    <mergeCell ref="A30:A55"/>
    <mergeCell ref="A56:A81"/>
    <mergeCell ref="A82:A107"/>
    <mergeCell ref="A108:A133"/>
    <mergeCell ref="A186:A211"/>
  </mergeCells>
  <pageMargins left="0.7" right="0.7" top="0.75" bottom="0.75" header="0.3" footer="0.3"/>
  <pageSetup paperSize="9" orientation="portrait" horizontalDpi="1200" verticalDpi="1200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4"/>
  <sheetViews>
    <sheetView workbookViewId="0">
      <selection activeCell="C19" sqref="C19"/>
    </sheetView>
  </sheetViews>
  <sheetFormatPr defaultRowHeight="15" x14ac:dyDescent="0.25"/>
  <cols>
    <col min="1" max="1" width="42.7109375" customWidth="1"/>
    <col min="2" max="2" width="17.5703125" customWidth="1"/>
    <col min="3" max="6" width="25.5703125" customWidth="1"/>
  </cols>
  <sheetData>
    <row r="1" spans="1:6" ht="36.6" customHeight="1" x14ac:dyDescent="0.25">
      <c r="A1" s="258" t="s">
        <v>248</v>
      </c>
      <c r="B1" s="260" t="s">
        <v>279</v>
      </c>
      <c r="C1" s="261" t="s">
        <v>280</v>
      </c>
      <c r="D1" s="261"/>
      <c r="E1" s="261" t="s">
        <v>281</v>
      </c>
      <c r="F1" s="262"/>
    </row>
    <row r="2" spans="1:6" ht="36.6" customHeight="1" x14ac:dyDescent="0.25">
      <c r="A2" s="259"/>
      <c r="B2" s="233"/>
      <c r="C2" s="81" t="s">
        <v>124</v>
      </c>
      <c r="D2" s="81" t="s">
        <v>228</v>
      </c>
      <c r="E2" s="81" t="s">
        <v>124</v>
      </c>
      <c r="F2" s="84" t="s">
        <v>228</v>
      </c>
    </row>
    <row r="3" spans="1:6" x14ac:dyDescent="0.25">
      <c r="A3" s="257" t="s">
        <v>282</v>
      </c>
      <c r="B3" s="83" t="s">
        <v>283</v>
      </c>
      <c r="C3" s="77">
        <v>60</v>
      </c>
      <c r="D3" s="83"/>
      <c r="E3" s="77">
        <v>101.2</v>
      </c>
      <c r="F3" s="85"/>
    </row>
    <row r="4" spans="1:6" x14ac:dyDescent="0.25">
      <c r="A4" s="257"/>
      <c r="B4" s="83" t="s">
        <v>284</v>
      </c>
      <c r="C4" s="77">
        <v>12</v>
      </c>
      <c r="D4" s="83"/>
      <c r="E4" s="77">
        <v>184.7</v>
      </c>
      <c r="F4" s="85"/>
    </row>
    <row r="5" spans="1:6" x14ac:dyDescent="0.25">
      <c r="A5" s="257" t="s">
        <v>285</v>
      </c>
      <c r="B5" s="83" t="s">
        <v>283</v>
      </c>
      <c r="C5" s="77">
        <v>10</v>
      </c>
      <c r="D5" s="83"/>
      <c r="E5" s="77">
        <v>5</v>
      </c>
      <c r="F5" s="85"/>
    </row>
    <row r="6" spans="1:6" x14ac:dyDescent="0.25">
      <c r="A6" s="257"/>
      <c r="B6" s="83" t="s">
        <v>284</v>
      </c>
      <c r="C6" s="77">
        <v>2</v>
      </c>
      <c r="D6" s="83"/>
      <c r="E6" s="77">
        <v>1.1000000000000001</v>
      </c>
      <c r="F6" s="85"/>
    </row>
    <row r="7" spans="1:6" x14ac:dyDescent="0.25">
      <c r="A7" s="257" t="s">
        <v>286</v>
      </c>
      <c r="B7" s="83" t="s">
        <v>283</v>
      </c>
      <c r="C7" s="77">
        <v>65</v>
      </c>
      <c r="D7" s="83"/>
      <c r="E7" s="77">
        <v>139.6</v>
      </c>
      <c r="F7" s="85"/>
    </row>
    <row r="8" spans="1:6" x14ac:dyDescent="0.25">
      <c r="A8" s="257"/>
      <c r="B8" s="83" t="s">
        <v>284</v>
      </c>
      <c r="C8" s="77">
        <v>29</v>
      </c>
      <c r="D8" s="83"/>
      <c r="E8" s="77">
        <v>609.70000000000005</v>
      </c>
      <c r="F8" s="85"/>
    </row>
    <row r="9" spans="1:6" x14ac:dyDescent="0.25">
      <c r="A9" s="257" t="s">
        <v>287</v>
      </c>
      <c r="B9" s="83" t="s">
        <v>283</v>
      </c>
      <c r="C9" s="77">
        <v>40</v>
      </c>
      <c r="D9" s="83"/>
      <c r="E9" s="77">
        <v>53.4</v>
      </c>
      <c r="F9" s="85"/>
    </row>
    <row r="10" spans="1:6" x14ac:dyDescent="0.25">
      <c r="A10" s="257"/>
      <c r="B10" s="83" t="s">
        <v>284</v>
      </c>
      <c r="C10" s="77">
        <v>40</v>
      </c>
      <c r="D10" s="83"/>
      <c r="E10" s="77">
        <v>1020.3</v>
      </c>
      <c r="F10" s="85"/>
    </row>
    <row r="11" spans="1:6" x14ac:dyDescent="0.25">
      <c r="A11" s="257" t="s">
        <v>288</v>
      </c>
      <c r="B11" s="83" t="s">
        <v>283</v>
      </c>
      <c r="C11" s="77">
        <v>6</v>
      </c>
      <c r="D11" s="83"/>
      <c r="E11" s="77">
        <v>5.7</v>
      </c>
      <c r="F11" s="85"/>
    </row>
    <row r="12" spans="1:6" x14ac:dyDescent="0.25">
      <c r="A12" s="257"/>
      <c r="B12" s="83" t="s">
        <v>284</v>
      </c>
      <c r="C12" s="77">
        <v>5</v>
      </c>
      <c r="D12" s="83"/>
      <c r="E12" s="77">
        <v>6.2</v>
      </c>
      <c r="F12" s="85"/>
    </row>
    <row r="13" spans="1:6" x14ac:dyDescent="0.25">
      <c r="A13" s="257" t="s">
        <v>289</v>
      </c>
      <c r="B13" s="83" t="s">
        <v>283</v>
      </c>
      <c r="C13" s="77">
        <v>3</v>
      </c>
      <c r="D13" s="83"/>
      <c r="E13" s="77">
        <v>1.3</v>
      </c>
      <c r="F13" s="85"/>
    </row>
    <row r="14" spans="1:6" x14ac:dyDescent="0.25">
      <c r="A14" s="257"/>
      <c r="B14" s="83" t="s">
        <v>284</v>
      </c>
      <c r="C14" s="77">
        <v>4</v>
      </c>
      <c r="D14" s="83"/>
      <c r="E14" s="77">
        <v>10.8</v>
      </c>
      <c r="F14" s="85"/>
    </row>
    <row r="15" spans="1:6" x14ac:dyDescent="0.25">
      <c r="A15" s="257" t="s">
        <v>290</v>
      </c>
      <c r="B15" s="83" t="s">
        <v>283</v>
      </c>
      <c r="C15" s="77">
        <v>41</v>
      </c>
      <c r="D15" s="83"/>
      <c r="E15" s="77">
        <v>76.8</v>
      </c>
      <c r="F15" s="85"/>
    </row>
    <row r="16" spans="1:6" x14ac:dyDescent="0.25">
      <c r="A16" s="257"/>
      <c r="B16" s="83" t="s">
        <v>284</v>
      </c>
      <c r="C16" s="77">
        <v>39</v>
      </c>
      <c r="D16" s="83"/>
      <c r="E16" s="77">
        <v>710.1</v>
      </c>
      <c r="F16" s="85"/>
    </row>
    <row r="17" spans="1:6" x14ac:dyDescent="0.25">
      <c r="A17" s="257" t="s">
        <v>291</v>
      </c>
      <c r="B17" s="83" t="s">
        <v>283</v>
      </c>
      <c r="C17" s="77">
        <v>15</v>
      </c>
      <c r="D17" s="83"/>
      <c r="E17" s="77">
        <v>31</v>
      </c>
      <c r="F17" s="85"/>
    </row>
    <row r="18" spans="1:6" x14ac:dyDescent="0.25">
      <c r="A18" s="257"/>
      <c r="B18" s="83" t="s">
        <v>284</v>
      </c>
      <c r="C18" s="77">
        <v>8</v>
      </c>
      <c r="D18" s="83"/>
      <c r="E18" s="77">
        <v>1687.6</v>
      </c>
      <c r="F18" s="85"/>
    </row>
    <row r="19" spans="1:6" x14ac:dyDescent="0.25">
      <c r="A19" s="276" t="s">
        <v>612</v>
      </c>
      <c r="B19" s="83" t="s">
        <v>283</v>
      </c>
      <c r="C19" s="77">
        <v>15</v>
      </c>
      <c r="D19" s="83"/>
      <c r="E19" s="77">
        <v>31</v>
      </c>
      <c r="F19" s="85"/>
    </row>
    <row r="20" spans="1:6" x14ac:dyDescent="0.25">
      <c r="A20" s="276"/>
      <c r="B20" s="83" t="s">
        <v>284</v>
      </c>
      <c r="C20" s="77">
        <v>8</v>
      </c>
      <c r="D20" s="83"/>
      <c r="E20" s="77">
        <v>1687.6</v>
      </c>
      <c r="F20" s="85"/>
    </row>
    <row r="21" spans="1:6" x14ac:dyDescent="0.25">
      <c r="A21" s="249" t="s">
        <v>112</v>
      </c>
      <c r="B21" s="251" t="s">
        <v>283</v>
      </c>
      <c r="C21" s="86">
        <f>SUM(C3,C5,C7,C9,C11,C13,C15,C19)</f>
        <v>225</v>
      </c>
      <c r="D21" s="86">
        <f>SUM(D3,D5,D7,D9,D11,D13,D15,D19)</f>
        <v>0</v>
      </c>
      <c r="E21" s="86">
        <f>SUM(E3,E5,E7,E9,E11,E13,E15,E19)</f>
        <v>383</v>
      </c>
      <c r="F21" s="87">
        <f>SUM(F3,F5,F7,F9,F11,F13,F15,F19)</f>
        <v>0</v>
      </c>
    </row>
    <row r="22" spans="1:6" x14ac:dyDescent="0.25">
      <c r="A22" s="249"/>
      <c r="B22" s="251"/>
      <c r="C22" s="252" t="s">
        <v>292</v>
      </c>
      <c r="D22" s="252"/>
      <c r="E22" s="252"/>
      <c r="F22" s="253"/>
    </row>
    <row r="23" spans="1:6" x14ac:dyDescent="0.25">
      <c r="A23" s="249"/>
      <c r="B23" s="251" t="s">
        <v>284</v>
      </c>
      <c r="C23" s="86">
        <f>SUM(C4,C6,C8,C10,C12,C14,C16,C20)</f>
        <v>131</v>
      </c>
      <c r="D23" s="86">
        <f>SUM(D4,D6,D8,D10,D12,D14,D16,D20)</f>
        <v>0</v>
      </c>
      <c r="E23" s="86">
        <f>SUM(E4,E6,E8,E10,E12,E14,E16,E20)</f>
        <v>2542.9</v>
      </c>
      <c r="F23" s="87">
        <f>SUM(F4,F6,F8,F10,F12,F14,F16,F20)</f>
        <v>0</v>
      </c>
    </row>
    <row r="24" spans="1:6" ht="15.75" thickBot="1" x14ac:dyDescent="0.3">
      <c r="A24" s="250"/>
      <c r="B24" s="254"/>
      <c r="C24" s="255" t="s">
        <v>293</v>
      </c>
      <c r="D24" s="255"/>
      <c r="E24" s="255"/>
      <c r="F24" s="256"/>
    </row>
  </sheetData>
  <mergeCells count="18">
    <mergeCell ref="A19:A20"/>
    <mergeCell ref="A1:A2"/>
    <mergeCell ref="B1:B2"/>
    <mergeCell ref="C1:D1"/>
    <mergeCell ref="E1:F1"/>
    <mergeCell ref="A3:A4"/>
    <mergeCell ref="A5:A6"/>
    <mergeCell ref="A7:A8"/>
    <mergeCell ref="A9:A10"/>
    <mergeCell ref="A11:A12"/>
    <mergeCell ref="A13:A14"/>
    <mergeCell ref="A15:A16"/>
    <mergeCell ref="A17:A18"/>
    <mergeCell ref="A21:A24"/>
    <mergeCell ref="B21:B22"/>
    <mergeCell ref="C22:F22"/>
    <mergeCell ref="B23:B24"/>
    <mergeCell ref="C24:F24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D3:F12"/>
  <sheetViews>
    <sheetView workbookViewId="0">
      <selection activeCell="K13" sqref="K13"/>
    </sheetView>
  </sheetViews>
  <sheetFormatPr defaultRowHeight="15" x14ac:dyDescent="0.25"/>
  <cols>
    <col min="4" max="4" width="44.85546875" customWidth="1"/>
  </cols>
  <sheetData>
    <row r="3" spans="4:6" ht="15.75" thickBot="1" x14ac:dyDescent="0.3"/>
    <row r="4" spans="4:6" s="94" customFormat="1" x14ac:dyDescent="0.25">
      <c r="D4" s="104" t="s">
        <v>312</v>
      </c>
      <c r="E4" s="103" t="s">
        <v>124</v>
      </c>
      <c r="F4" s="102" t="s">
        <v>228</v>
      </c>
    </row>
    <row r="5" spans="4:6" s="94" customFormat="1" x14ac:dyDescent="0.25">
      <c r="D5" s="92" t="s">
        <v>311</v>
      </c>
      <c r="E5" s="98">
        <v>30685</v>
      </c>
      <c r="F5" s="95"/>
    </row>
    <row r="6" spans="4:6" s="94" customFormat="1" x14ac:dyDescent="0.25">
      <c r="D6" s="92" t="s">
        <v>310</v>
      </c>
      <c r="E6" s="98">
        <v>64020</v>
      </c>
      <c r="F6" s="95"/>
    </row>
    <row r="7" spans="4:6" s="94" customFormat="1" x14ac:dyDescent="0.25">
      <c r="D7" s="92" t="s">
        <v>309</v>
      </c>
      <c r="E7" s="98">
        <v>10072</v>
      </c>
      <c r="F7" s="95"/>
    </row>
    <row r="8" spans="4:6" s="94" customFormat="1" x14ac:dyDescent="0.25">
      <c r="D8" s="92" t="s">
        <v>308</v>
      </c>
      <c r="E8" s="98">
        <v>1618</v>
      </c>
      <c r="F8" s="95"/>
    </row>
    <row r="9" spans="4:6" s="99" customFormat="1" ht="25.5" x14ac:dyDescent="0.25">
      <c r="D9" s="101" t="s">
        <v>307</v>
      </c>
      <c r="E9" s="100">
        <v>4766</v>
      </c>
      <c r="F9" s="95"/>
    </row>
    <row r="10" spans="4:6" s="94" customFormat="1" x14ac:dyDescent="0.25">
      <c r="D10" s="92" t="s">
        <v>306</v>
      </c>
      <c r="E10" s="98">
        <v>160678</v>
      </c>
      <c r="F10" s="95"/>
    </row>
    <row r="11" spans="4:6" s="94" customFormat="1" x14ac:dyDescent="0.25">
      <c r="D11" s="92" t="s">
        <v>305</v>
      </c>
      <c r="E11" s="98">
        <v>2621</v>
      </c>
      <c r="F11" s="95"/>
    </row>
    <row r="12" spans="4:6" s="94" customFormat="1" ht="15.75" thickBot="1" x14ac:dyDescent="0.3">
      <c r="D12" s="97" t="s">
        <v>304</v>
      </c>
      <c r="E12" s="96">
        <v>2417</v>
      </c>
      <c r="F12" s="95"/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:X186"/>
  <sheetViews>
    <sheetView zoomScale="85" zoomScaleNormal="85" workbookViewId="0">
      <selection activeCell="E135" sqref="E135"/>
    </sheetView>
  </sheetViews>
  <sheetFormatPr defaultColWidth="8.85546875" defaultRowHeight="12.75" x14ac:dyDescent="0.2"/>
  <cols>
    <col min="1" max="1" width="26.5703125" style="105" customWidth="1"/>
    <col min="2" max="2" width="12.28515625" style="14" customWidth="1"/>
    <col min="3" max="4" width="8.85546875" style="14"/>
    <col min="5" max="5" width="26.28515625" style="14" customWidth="1"/>
    <col min="6" max="13" width="8.85546875" style="14"/>
    <col min="14" max="14" width="29" style="14" customWidth="1"/>
    <col min="15" max="16" width="23.28515625" style="14" customWidth="1"/>
    <col min="17" max="17" width="18.5703125" style="14" customWidth="1"/>
    <col min="18" max="19" width="15.28515625" style="14" customWidth="1"/>
    <col min="20" max="20" width="16.7109375" style="14" customWidth="1"/>
    <col min="21" max="23" width="8.85546875" style="14"/>
    <col min="24" max="24" width="17.28515625" style="14" customWidth="1"/>
    <col min="25" max="16384" width="8.85546875" style="14"/>
  </cols>
  <sheetData>
    <row r="4" spans="1:24" ht="51" x14ac:dyDescent="0.2">
      <c r="A4" s="89" t="s">
        <v>385</v>
      </c>
      <c r="B4" s="80" t="s">
        <v>228</v>
      </c>
      <c r="C4" s="80" t="s">
        <v>330</v>
      </c>
      <c r="N4" s="89" t="s">
        <v>384</v>
      </c>
      <c r="O4" s="89" t="s">
        <v>382</v>
      </c>
      <c r="P4" s="89" t="s">
        <v>383</v>
      </c>
      <c r="Q4" s="89" t="s">
        <v>380</v>
      </c>
      <c r="R4" s="89" t="s">
        <v>382</v>
      </c>
      <c r="S4" s="89" t="s">
        <v>381</v>
      </c>
      <c r="T4" s="89" t="s">
        <v>380</v>
      </c>
      <c r="X4" s="119" t="s">
        <v>331</v>
      </c>
    </row>
    <row r="5" spans="1:24" x14ac:dyDescent="0.2">
      <c r="A5" s="110" t="s">
        <v>332</v>
      </c>
      <c r="B5" s="109"/>
      <c r="C5" s="115" t="e">
        <f>B5/B8</f>
        <v>#DIV/0!</v>
      </c>
      <c r="N5" s="110" t="s">
        <v>332</v>
      </c>
      <c r="O5" s="109"/>
      <c r="P5" s="109"/>
      <c r="Q5" s="109"/>
      <c r="R5" s="108" t="e">
        <f>O5/O8</f>
        <v>#DIV/0!</v>
      </c>
      <c r="S5" s="108" t="e">
        <f>P5/P8</f>
        <v>#DIV/0!</v>
      </c>
      <c r="T5" s="108" t="e">
        <f>Q5/Q8</f>
        <v>#DIV/0!</v>
      </c>
    </row>
    <row r="6" spans="1:24" x14ac:dyDescent="0.2">
      <c r="A6" s="110" t="s">
        <v>333</v>
      </c>
      <c r="B6" s="109"/>
      <c r="C6" s="115" t="e">
        <f>B6/B8</f>
        <v>#DIV/0!</v>
      </c>
      <c r="N6" s="110" t="s">
        <v>333</v>
      </c>
      <c r="O6" s="109"/>
      <c r="P6" s="109"/>
      <c r="Q6" s="109"/>
      <c r="R6" s="108" t="e">
        <f>O6/O8</f>
        <v>#DIV/0!</v>
      </c>
      <c r="S6" s="108" t="e">
        <f>P6/P8</f>
        <v>#DIV/0!</v>
      </c>
      <c r="T6" s="108" t="e">
        <f>Q6/Q8</f>
        <v>#DIV/0!</v>
      </c>
    </row>
    <row r="7" spans="1:24" x14ac:dyDescent="0.2">
      <c r="A7" s="110" t="s">
        <v>367</v>
      </c>
      <c r="B7" s="109"/>
      <c r="C7" s="115" t="e">
        <f>B7/B8</f>
        <v>#DIV/0!</v>
      </c>
      <c r="N7" s="110" t="s">
        <v>367</v>
      </c>
      <c r="O7" s="109"/>
      <c r="P7" s="109"/>
      <c r="Q7" s="109"/>
      <c r="R7" s="108" t="e">
        <f>O7/O8</f>
        <v>#DIV/0!</v>
      </c>
      <c r="S7" s="108" t="e">
        <f>P7/P8</f>
        <v>#DIV/0!</v>
      </c>
      <c r="T7" s="108" t="e">
        <f>Q7/Q8</f>
        <v>#DIV/0!</v>
      </c>
    </row>
    <row r="8" spans="1:24" x14ac:dyDescent="0.2">
      <c r="A8" s="89" t="s">
        <v>337</v>
      </c>
      <c r="B8" s="79">
        <f>SUM(B5:B7)</f>
        <v>0</v>
      </c>
      <c r="C8" s="114" t="e">
        <f>SUM(C5:C7)</f>
        <v>#DIV/0!</v>
      </c>
      <c r="N8" s="89" t="s">
        <v>337</v>
      </c>
      <c r="O8" s="89">
        <f t="shared" ref="O8:T8" si="0">SUM(O5:O7)</f>
        <v>0</v>
      </c>
      <c r="P8" s="89">
        <f t="shared" si="0"/>
        <v>0</v>
      </c>
      <c r="Q8" s="89">
        <f t="shared" si="0"/>
        <v>0</v>
      </c>
      <c r="R8" s="114" t="e">
        <f t="shared" si="0"/>
        <v>#DIV/0!</v>
      </c>
      <c r="S8" s="114" t="e">
        <f t="shared" si="0"/>
        <v>#DIV/0!</v>
      </c>
      <c r="T8" s="114" t="e">
        <f t="shared" si="0"/>
        <v>#DIV/0!</v>
      </c>
    </row>
    <row r="17" spans="1:16" ht="38.25" x14ac:dyDescent="0.2">
      <c r="A17" s="89" t="s">
        <v>379</v>
      </c>
      <c r="B17" s="80" t="s">
        <v>228</v>
      </c>
      <c r="C17" s="80" t="s">
        <v>330</v>
      </c>
    </row>
    <row r="18" spans="1:16" x14ac:dyDescent="0.2">
      <c r="A18" s="110" t="s">
        <v>378</v>
      </c>
      <c r="B18" s="109"/>
      <c r="C18" s="115" t="e">
        <f>B18/B22</f>
        <v>#DIV/0!</v>
      </c>
    </row>
    <row r="19" spans="1:16" x14ac:dyDescent="0.2">
      <c r="A19" s="110" t="s">
        <v>377</v>
      </c>
      <c r="B19" s="109"/>
      <c r="C19" s="115" t="e">
        <f>B19/B22</f>
        <v>#DIV/0!</v>
      </c>
    </row>
    <row r="20" spans="1:16" x14ac:dyDescent="0.2">
      <c r="A20" s="110" t="s">
        <v>376</v>
      </c>
      <c r="B20" s="109"/>
      <c r="C20" s="115" t="e">
        <f>B20/B22</f>
        <v>#DIV/0!</v>
      </c>
    </row>
    <row r="21" spans="1:16" x14ac:dyDescent="0.2">
      <c r="A21" s="110" t="s">
        <v>375</v>
      </c>
      <c r="B21" s="109"/>
      <c r="C21" s="115" t="e">
        <f>B21/B22</f>
        <v>#DIV/0!</v>
      </c>
    </row>
    <row r="22" spans="1:16" x14ac:dyDescent="0.2">
      <c r="A22" s="89" t="s">
        <v>337</v>
      </c>
      <c r="B22" s="79">
        <f>SUM(B18:B21)</f>
        <v>0</v>
      </c>
      <c r="C22" s="114" t="e">
        <f>SUM(C18:C21)</f>
        <v>#DIV/0!</v>
      </c>
    </row>
    <row r="27" spans="1:16" ht="51" x14ac:dyDescent="0.2">
      <c r="A27" s="89" t="s">
        <v>374</v>
      </c>
      <c r="B27" s="80" t="s">
        <v>228</v>
      </c>
      <c r="C27" s="80" t="s">
        <v>330</v>
      </c>
      <c r="N27" s="113" t="s">
        <v>373</v>
      </c>
      <c r="O27" s="112" t="s">
        <v>372</v>
      </c>
      <c r="P27" s="112" t="s">
        <v>371</v>
      </c>
    </row>
    <row r="28" spans="1:16" x14ac:dyDescent="0.2">
      <c r="A28" s="110" t="s">
        <v>332</v>
      </c>
      <c r="B28" s="109"/>
      <c r="C28" s="115" t="e">
        <f>B28/B31</f>
        <v>#DIV/0!</v>
      </c>
      <c r="N28" s="111" t="s">
        <v>367</v>
      </c>
      <c r="O28" s="109"/>
      <c r="P28" s="109"/>
    </row>
    <row r="29" spans="1:16" x14ac:dyDescent="0.2">
      <c r="A29" s="110" t="s">
        <v>333</v>
      </c>
      <c r="B29" s="109"/>
      <c r="C29" s="115" t="e">
        <f>B29/B31</f>
        <v>#DIV/0!</v>
      </c>
      <c r="N29" s="111" t="s">
        <v>333</v>
      </c>
      <c r="O29" s="109"/>
      <c r="P29" s="109"/>
    </row>
    <row r="30" spans="1:16" x14ac:dyDescent="0.2">
      <c r="A30" s="110" t="s">
        <v>367</v>
      </c>
      <c r="B30" s="109"/>
      <c r="C30" s="115" t="e">
        <f>B30/B31</f>
        <v>#DIV/0!</v>
      </c>
      <c r="N30" s="111" t="s">
        <v>332</v>
      </c>
      <c r="O30" s="109"/>
      <c r="P30" s="109"/>
    </row>
    <row r="31" spans="1:16" x14ac:dyDescent="0.2">
      <c r="A31" s="89" t="s">
        <v>337</v>
      </c>
      <c r="B31" s="79">
        <f>SUM(B28:B30)</f>
        <v>0</v>
      </c>
      <c r="C31" s="114" t="e">
        <f>SUM(C28:C30)</f>
        <v>#DIV/0!</v>
      </c>
    </row>
    <row r="37" spans="1:17" ht="38.25" x14ac:dyDescent="0.2">
      <c r="A37" s="89" t="s">
        <v>370</v>
      </c>
      <c r="B37" s="80" t="s">
        <v>228</v>
      </c>
      <c r="C37" s="80" t="s">
        <v>330</v>
      </c>
    </row>
    <row r="38" spans="1:17" x14ac:dyDescent="0.2">
      <c r="A38" s="110" t="s">
        <v>332</v>
      </c>
      <c r="B38" s="109"/>
      <c r="C38" s="115" t="e">
        <f>B38/B41</f>
        <v>#DIV/0!</v>
      </c>
    </row>
    <row r="39" spans="1:17" x14ac:dyDescent="0.2">
      <c r="A39" s="110" t="s">
        <v>333</v>
      </c>
      <c r="B39" s="109"/>
      <c r="C39" s="115" t="e">
        <f>B39/B41</f>
        <v>#DIV/0!</v>
      </c>
    </row>
    <row r="40" spans="1:17" x14ac:dyDescent="0.2">
      <c r="A40" s="110" t="s">
        <v>367</v>
      </c>
      <c r="B40" s="109"/>
      <c r="C40" s="115" t="e">
        <f>B40/B41</f>
        <v>#DIV/0!</v>
      </c>
    </row>
    <row r="41" spans="1:17" x14ac:dyDescent="0.2">
      <c r="A41" s="89" t="s">
        <v>337</v>
      </c>
      <c r="B41" s="79">
        <f>SUM(B38:B40)</f>
        <v>0</v>
      </c>
      <c r="C41" s="114" t="e">
        <f>SUM(C38:C40)</f>
        <v>#DIV/0!</v>
      </c>
    </row>
    <row r="46" spans="1:17" ht="38.25" x14ac:dyDescent="0.2">
      <c r="A46" s="89" t="s">
        <v>369</v>
      </c>
      <c r="B46" s="80" t="s">
        <v>228</v>
      </c>
      <c r="C46" s="80" t="s">
        <v>330</v>
      </c>
      <c r="N46" s="113" t="s">
        <v>368</v>
      </c>
      <c r="O46" s="112" t="s">
        <v>367</v>
      </c>
      <c r="P46" s="112" t="s">
        <v>333</v>
      </c>
      <c r="Q46" s="112" t="s">
        <v>332</v>
      </c>
    </row>
    <row r="47" spans="1:17" x14ac:dyDescent="0.2">
      <c r="A47" s="110" t="s">
        <v>352</v>
      </c>
      <c r="B47" s="116"/>
      <c r="C47" s="117" t="e">
        <f>B47/B57</f>
        <v>#DIV/0!</v>
      </c>
      <c r="N47" s="111" t="s">
        <v>366</v>
      </c>
      <c r="O47" s="109">
        <v>10</v>
      </c>
      <c r="P47" s="109">
        <v>20</v>
      </c>
      <c r="Q47" s="109">
        <v>25</v>
      </c>
    </row>
    <row r="48" spans="1:17" x14ac:dyDescent="0.2">
      <c r="A48" s="110" t="s">
        <v>351</v>
      </c>
      <c r="B48" s="116"/>
      <c r="C48" s="117" t="e">
        <f>B48/B57</f>
        <v>#DIV/0!</v>
      </c>
      <c r="N48" s="111" t="s">
        <v>365</v>
      </c>
      <c r="O48" s="109">
        <v>10</v>
      </c>
      <c r="P48" s="109">
        <v>20</v>
      </c>
      <c r="Q48" s="109">
        <v>25</v>
      </c>
    </row>
    <row r="49" spans="1:17" x14ac:dyDescent="0.2">
      <c r="A49" s="110" t="s">
        <v>345</v>
      </c>
      <c r="B49" s="116"/>
      <c r="C49" s="117" t="e">
        <f>B49/B57</f>
        <v>#DIV/0!</v>
      </c>
      <c r="N49" s="111" t="s">
        <v>364</v>
      </c>
      <c r="O49" s="109">
        <v>10</v>
      </c>
      <c r="P49" s="109">
        <v>20</v>
      </c>
      <c r="Q49" s="109">
        <v>25</v>
      </c>
    </row>
    <row r="50" spans="1:17" x14ac:dyDescent="0.2">
      <c r="A50" s="110" t="s">
        <v>344</v>
      </c>
      <c r="B50" s="116"/>
      <c r="C50" s="117" t="e">
        <f>B50/B57</f>
        <v>#DIV/0!</v>
      </c>
      <c r="N50" s="111" t="s">
        <v>363</v>
      </c>
      <c r="O50" s="109">
        <v>10</v>
      </c>
      <c r="P50" s="109">
        <v>20</v>
      </c>
      <c r="Q50" s="109">
        <v>25</v>
      </c>
    </row>
    <row r="51" spans="1:17" x14ac:dyDescent="0.2">
      <c r="A51" s="110" t="s">
        <v>343</v>
      </c>
      <c r="B51" s="116"/>
      <c r="C51" s="117" t="e">
        <f>B51/B57</f>
        <v>#DIV/0!</v>
      </c>
      <c r="N51" s="111" t="s">
        <v>362</v>
      </c>
      <c r="O51" s="109">
        <v>10</v>
      </c>
      <c r="P51" s="109">
        <v>20</v>
      </c>
      <c r="Q51" s="109">
        <v>25</v>
      </c>
    </row>
    <row r="52" spans="1:17" x14ac:dyDescent="0.2">
      <c r="A52" s="110" t="s">
        <v>342</v>
      </c>
      <c r="B52" s="116"/>
      <c r="C52" s="117" t="e">
        <f>B52/B57</f>
        <v>#DIV/0!</v>
      </c>
      <c r="N52" s="111" t="s">
        <v>361</v>
      </c>
      <c r="O52" s="109">
        <v>10</v>
      </c>
      <c r="P52" s="109">
        <v>20</v>
      </c>
      <c r="Q52" s="109">
        <v>25</v>
      </c>
    </row>
    <row r="53" spans="1:17" x14ac:dyDescent="0.2">
      <c r="A53" s="110" t="s">
        <v>341</v>
      </c>
      <c r="B53" s="116"/>
      <c r="C53" s="117" t="e">
        <f>B53/B57</f>
        <v>#DIV/0!</v>
      </c>
      <c r="N53" s="111" t="s">
        <v>360</v>
      </c>
      <c r="O53" s="109">
        <v>10</v>
      </c>
      <c r="P53" s="109">
        <v>20</v>
      </c>
      <c r="Q53" s="109">
        <v>25</v>
      </c>
    </row>
    <row r="54" spans="1:17" x14ac:dyDescent="0.2">
      <c r="A54" s="110" t="s">
        <v>340</v>
      </c>
      <c r="B54" s="116"/>
      <c r="C54" s="115" t="e">
        <f>B54/B57</f>
        <v>#DIV/0!</v>
      </c>
      <c r="N54" s="111" t="s">
        <v>359</v>
      </c>
      <c r="O54" s="109">
        <v>10</v>
      </c>
      <c r="P54" s="109">
        <v>20</v>
      </c>
      <c r="Q54" s="109">
        <v>25</v>
      </c>
    </row>
    <row r="55" spans="1:17" x14ac:dyDescent="0.2">
      <c r="A55" s="110" t="s">
        <v>339</v>
      </c>
      <c r="B55" s="116"/>
      <c r="C55" s="115" t="e">
        <f>B55/B57</f>
        <v>#DIV/0!</v>
      </c>
      <c r="N55" s="111" t="s">
        <v>358</v>
      </c>
      <c r="O55" s="109">
        <v>10</v>
      </c>
      <c r="P55" s="109">
        <v>20</v>
      </c>
      <c r="Q55" s="109">
        <v>25</v>
      </c>
    </row>
    <row r="56" spans="1:17" x14ac:dyDescent="0.2">
      <c r="A56" s="110" t="s">
        <v>338</v>
      </c>
      <c r="B56" s="116"/>
      <c r="C56" s="115" t="e">
        <f>B56/B57</f>
        <v>#DIV/0!</v>
      </c>
      <c r="N56" s="111" t="s">
        <v>357</v>
      </c>
      <c r="O56" s="109">
        <v>10</v>
      </c>
      <c r="P56" s="109">
        <v>20</v>
      </c>
      <c r="Q56" s="109">
        <v>25</v>
      </c>
    </row>
    <row r="57" spans="1:17" x14ac:dyDescent="0.2">
      <c r="A57" s="89" t="s">
        <v>337</v>
      </c>
      <c r="B57" s="79">
        <f>SUM(B47:B56)</f>
        <v>0</v>
      </c>
      <c r="C57" s="114" t="e">
        <f>SUM(C47:C56)</f>
        <v>#DIV/0!</v>
      </c>
      <c r="N57" s="111" t="s">
        <v>356</v>
      </c>
      <c r="O57" s="109">
        <v>10</v>
      </c>
      <c r="P57" s="109">
        <v>20</v>
      </c>
      <c r="Q57" s="109">
        <v>25</v>
      </c>
    </row>
    <row r="60" spans="1:17" ht="51" x14ac:dyDescent="0.2">
      <c r="A60" s="113" t="s">
        <v>355</v>
      </c>
      <c r="B60" s="80" t="s">
        <v>228</v>
      </c>
      <c r="C60" s="80" t="s">
        <v>330</v>
      </c>
    </row>
    <row r="61" spans="1:17" x14ac:dyDescent="0.2">
      <c r="A61" s="110" t="s">
        <v>352</v>
      </c>
      <c r="B61" s="116"/>
      <c r="C61" s="117" t="e">
        <f>B61/B71</f>
        <v>#DIV/0!</v>
      </c>
    </row>
    <row r="62" spans="1:17" x14ac:dyDescent="0.2">
      <c r="A62" s="110" t="s">
        <v>351</v>
      </c>
      <c r="B62" s="116"/>
      <c r="C62" s="117" t="e">
        <f>B62/B71</f>
        <v>#DIV/0!</v>
      </c>
    </row>
    <row r="63" spans="1:17" x14ac:dyDescent="0.2">
      <c r="A63" s="110" t="s">
        <v>345</v>
      </c>
      <c r="B63" s="116"/>
      <c r="C63" s="117" t="e">
        <f>B63/B71</f>
        <v>#DIV/0!</v>
      </c>
    </row>
    <row r="64" spans="1:17" x14ac:dyDescent="0.2">
      <c r="A64" s="110" t="s">
        <v>344</v>
      </c>
      <c r="B64" s="116"/>
      <c r="C64" s="117" t="e">
        <f>B64/B71</f>
        <v>#DIV/0!</v>
      </c>
    </row>
    <row r="65" spans="1:3" x14ac:dyDescent="0.2">
      <c r="A65" s="110" t="s">
        <v>343</v>
      </c>
      <c r="B65" s="116"/>
      <c r="C65" s="117" t="e">
        <f>B65/B71</f>
        <v>#DIV/0!</v>
      </c>
    </row>
    <row r="66" spans="1:3" x14ac:dyDescent="0.2">
      <c r="A66" s="110" t="s">
        <v>342</v>
      </c>
      <c r="B66" s="116"/>
      <c r="C66" s="117" t="e">
        <f>B66/B71</f>
        <v>#DIV/0!</v>
      </c>
    </row>
    <row r="67" spans="1:3" x14ac:dyDescent="0.2">
      <c r="A67" s="110" t="s">
        <v>341</v>
      </c>
      <c r="B67" s="116"/>
      <c r="C67" s="117" t="e">
        <f>B67/B71</f>
        <v>#DIV/0!</v>
      </c>
    </row>
    <row r="68" spans="1:3" x14ac:dyDescent="0.2">
      <c r="A68" s="110" t="s">
        <v>340</v>
      </c>
      <c r="B68" s="116"/>
      <c r="C68" s="115" t="e">
        <f>B68/B71</f>
        <v>#DIV/0!</v>
      </c>
    </row>
    <row r="69" spans="1:3" x14ac:dyDescent="0.2">
      <c r="A69" s="110" t="s">
        <v>339</v>
      </c>
      <c r="B69" s="116"/>
      <c r="C69" s="115" t="e">
        <f>B69/B71</f>
        <v>#DIV/0!</v>
      </c>
    </row>
    <row r="70" spans="1:3" x14ac:dyDescent="0.2">
      <c r="A70" s="110" t="s">
        <v>338</v>
      </c>
      <c r="B70" s="116"/>
      <c r="C70" s="115" t="e">
        <f>B70/B71</f>
        <v>#DIV/0!</v>
      </c>
    </row>
    <row r="71" spans="1:3" x14ac:dyDescent="0.2">
      <c r="A71" s="89" t="s">
        <v>337</v>
      </c>
      <c r="B71" s="79">
        <f>SUM(B61:B70)</f>
        <v>0</v>
      </c>
      <c r="C71" s="114" t="e">
        <f>SUM(C61:C70)</f>
        <v>#DIV/0!</v>
      </c>
    </row>
    <row r="74" spans="1:3" ht="74.45" customHeight="1" x14ac:dyDescent="0.2">
      <c r="A74" s="113" t="s">
        <v>354</v>
      </c>
      <c r="B74" s="80" t="s">
        <v>228</v>
      </c>
      <c r="C74" s="80" t="s">
        <v>330</v>
      </c>
    </row>
    <row r="75" spans="1:3" x14ac:dyDescent="0.2">
      <c r="A75" s="110" t="s">
        <v>352</v>
      </c>
      <c r="B75" s="116"/>
      <c r="C75" s="117" t="e">
        <f>B75/B85</f>
        <v>#DIV/0!</v>
      </c>
    </row>
    <row r="76" spans="1:3" x14ac:dyDescent="0.2">
      <c r="A76" s="110" t="s">
        <v>351</v>
      </c>
      <c r="B76" s="116"/>
      <c r="C76" s="117" t="e">
        <f>B76/B85</f>
        <v>#DIV/0!</v>
      </c>
    </row>
    <row r="77" spans="1:3" x14ac:dyDescent="0.2">
      <c r="A77" s="110" t="s">
        <v>345</v>
      </c>
      <c r="B77" s="116"/>
      <c r="C77" s="117" t="e">
        <f>B77/B85</f>
        <v>#DIV/0!</v>
      </c>
    </row>
    <row r="78" spans="1:3" x14ac:dyDescent="0.2">
      <c r="A78" s="110" t="s">
        <v>344</v>
      </c>
      <c r="B78" s="116"/>
      <c r="C78" s="117" t="e">
        <f>B78/B85</f>
        <v>#DIV/0!</v>
      </c>
    </row>
    <row r="79" spans="1:3" x14ac:dyDescent="0.2">
      <c r="A79" s="110" t="s">
        <v>343</v>
      </c>
      <c r="B79" s="116"/>
      <c r="C79" s="117" t="e">
        <f>B79/B85</f>
        <v>#DIV/0!</v>
      </c>
    </row>
    <row r="80" spans="1:3" x14ac:dyDescent="0.2">
      <c r="A80" s="110" t="s">
        <v>342</v>
      </c>
      <c r="B80" s="116"/>
      <c r="C80" s="117" t="e">
        <f>B80/B85</f>
        <v>#DIV/0!</v>
      </c>
    </row>
    <row r="81" spans="1:18" x14ac:dyDescent="0.2">
      <c r="A81" s="110" t="s">
        <v>341</v>
      </c>
      <c r="B81" s="116"/>
      <c r="C81" s="117" t="e">
        <f>B81/B85</f>
        <v>#DIV/0!</v>
      </c>
    </row>
    <row r="82" spans="1:18" x14ac:dyDescent="0.2">
      <c r="A82" s="110" t="s">
        <v>340</v>
      </c>
      <c r="B82" s="116"/>
      <c r="C82" s="115" t="e">
        <f>B82/B85</f>
        <v>#DIV/0!</v>
      </c>
    </row>
    <row r="83" spans="1:18" x14ac:dyDescent="0.2">
      <c r="A83" s="110" t="s">
        <v>339</v>
      </c>
      <c r="B83" s="116"/>
      <c r="C83" s="115" t="e">
        <f>B83/B85</f>
        <v>#DIV/0!</v>
      </c>
    </row>
    <row r="84" spans="1:18" x14ac:dyDescent="0.2">
      <c r="A84" s="110" t="s">
        <v>338</v>
      </c>
      <c r="B84" s="116"/>
      <c r="C84" s="115" t="e">
        <f>B84/B85</f>
        <v>#DIV/0!</v>
      </c>
    </row>
    <row r="85" spans="1:18" x14ac:dyDescent="0.2">
      <c r="A85" s="89" t="s">
        <v>337</v>
      </c>
      <c r="B85" s="79">
        <f>SUM(B75:B84)</f>
        <v>0</v>
      </c>
      <c r="C85" s="114" t="e">
        <f>SUM(C75:C84)</f>
        <v>#DIV/0!</v>
      </c>
    </row>
    <row r="88" spans="1:18" ht="51" x14ac:dyDescent="0.2">
      <c r="A88" s="113" t="s">
        <v>353</v>
      </c>
      <c r="B88" s="80" t="s">
        <v>228</v>
      </c>
      <c r="C88" s="80" t="s">
        <v>330</v>
      </c>
    </row>
    <row r="89" spans="1:18" x14ac:dyDescent="0.2">
      <c r="A89" s="110" t="s">
        <v>352</v>
      </c>
      <c r="B89" s="116"/>
      <c r="C89" s="117" t="e">
        <f>B89/B99</f>
        <v>#DIV/0!</v>
      </c>
    </row>
    <row r="90" spans="1:18" ht="38.25" x14ac:dyDescent="0.2">
      <c r="A90" s="110" t="s">
        <v>351</v>
      </c>
      <c r="B90" s="116"/>
      <c r="C90" s="117" t="e">
        <f>B90/B99</f>
        <v>#DIV/0!</v>
      </c>
      <c r="N90" s="113" t="s">
        <v>350</v>
      </c>
      <c r="O90" s="118" t="s">
        <v>349</v>
      </c>
      <c r="P90" s="118" t="s">
        <v>348</v>
      </c>
      <c r="Q90" s="113" t="s">
        <v>347</v>
      </c>
      <c r="R90" s="113" t="s">
        <v>346</v>
      </c>
    </row>
    <row r="91" spans="1:18" x14ac:dyDescent="0.2">
      <c r="A91" s="110" t="s">
        <v>345</v>
      </c>
      <c r="B91" s="116"/>
      <c r="C91" s="117" t="e">
        <f>B91/B99</f>
        <v>#DIV/0!</v>
      </c>
      <c r="N91" s="111" t="s">
        <v>332</v>
      </c>
      <c r="O91" s="109"/>
      <c r="P91" s="109"/>
      <c r="Q91" s="109"/>
      <c r="R91" s="109"/>
    </row>
    <row r="92" spans="1:18" x14ac:dyDescent="0.2">
      <c r="A92" s="110" t="s">
        <v>344</v>
      </c>
      <c r="B92" s="116"/>
      <c r="C92" s="117" t="e">
        <f>B92/B99</f>
        <v>#DIV/0!</v>
      </c>
      <c r="N92" s="111" t="s">
        <v>333</v>
      </c>
      <c r="O92" s="109"/>
      <c r="P92" s="109"/>
      <c r="Q92" s="109"/>
      <c r="R92" s="109"/>
    </row>
    <row r="93" spans="1:18" x14ac:dyDescent="0.2">
      <c r="A93" s="110" t="s">
        <v>343</v>
      </c>
      <c r="B93" s="116"/>
      <c r="C93" s="117" t="e">
        <f>B93/B99</f>
        <v>#DIV/0!</v>
      </c>
    </row>
    <row r="94" spans="1:18" x14ac:dyDescent="0.2">
      <c r="A94" s="110" t="s">
        <v>342</v>
      </c>
      <c r="B94" s="116"/>
      <c r="C94" s="117" t="e">
        <f>B94/B99</f>
        <v>#DIV/0!</v>
      </c>
    </row>
    <row r="95" spans="1:18" x14ac:dyDescent="0.2">
      <c r="A95" s="110" t="s">
        <v>341</v>
      </c>
      <c r="B95" s="116"/>
      <c r="C95" s="117" t="e">
        <f>B95/B99</f>
        <v>#DIV/0!</v>
      </c>
    </row>
    <row r="96" spans="1:18" x14ac:dyDescent="0.2">
      <c r="A96" s="110" t="s">
        <v>340</v>
      </c>
      <c r="B96" s="116"/>
      <c r="C96" s="115" t="e">
        <f>B96/B99</f>
        <v>#DIV/0!</v>
      </c>
    </row>
    <row r="97" spans="1:3" x14ac:dyDescent="0.2">
      <c r="A97" s="110" t="s">
        <v>339</v>
      </c>
      <c r="B97" s="116"/>
      <c r="C97" s="115" t="e">
        <f>B97/B99</f>
        <v>#DIV/0!</v>
      </c>
    </row>
    <row r="98" spans="1:3" x14ac:dyDescent="0.2">
      <c r="A98" s="110" t="s">
        <v>338</v>
      </c>
      <c r="B98" s="116"/>
      <c r="C98" s="115" t="e">
        <f>B98/B99</f>
        <v>#DIV/0!</v>
      </c>
    </row>
    <row r="99" spans="1:3" x14ac:dyDescent="0.2">
      <c r="A99" s="89" t="s">
        <v>337</v>
      </c>
      <c r="B99" s="79">
        <f>SUM(B89:B98)</f>
        <v>0</v>
      </c>
      <c r="C99" s="114" t="e">
        <f>SUM(C89:C98)</f>
        <v>#DIV/0!</v>
      </c>
    </row>
    <row r="103" spans="1:3" ht="25.5" x14ac:dyDescent="0.2">
      <c r="A103" s="113" t="s">
        <v>336</v>
      </c>
      <c r="B103" s="112" t="s">
        <v>335</v>
      </c>
      <c r="C103" s="112" t="s">
        <v>334</v>
      </c>
    </row>
    <row r="104" spans="1:3" x14ac:dyDescent="0.2">
      <c r="A104" s="111" t="s">
        <v>333</v>
      </c>
      <c r="B104" s="109">
        <v>10</v>
      </c>
      <c r="C104" s="109">
        <v>15</v>
      </c>
    </row>
    <row r="105" spans="1:3" x14ac:dyDescent="0.2">
      <c r="A105" s="111" t="s">
        <v>332</v>
      </c>
      <c r="B105" s="109">
        <v>15</v>
      </c>
      <c r="C105" s="109">
        <v>10</v>
      </c>
    </row>
    <row r="124" spans="1:1" x14ac:dyDescent="0.2">
      <c r="A124" s="88"/>
    </row>
    <row r="125" spans="1:1" x14ac:dyDescent="0.2">
      <c r="A125" s="88"/>
    </row>
    <row r="126" spans="1:1" x14ac:dyDescent="0.2">
      <c r="A126" s="88"/>
    </row>
    <row r="127" spans="1:1" x14ac:dyDescent="0.2">
      <c r="A127" s="88"/>
    </row>
    <row r="128" spans="1:1" x14ac:dyDescent="0.2">
      <c r="A128" s="88"/>
    </row>
    <row r="129" spans="1:1" x14ac:dyDescent="0.2">
      <c r="A129" s="88"/>
    </row>
    <row r="130" spans="1:1" x14ac:dyDescent="0.2">
      <c r="A130" s="88"/>
    </row>
    <row r="131" spans="1:1" x14ac:dyDescent="0.2">
      <c r="A131" s="88"/>
    </row>
    <row r="132" spans="1:1" x14ac:dyDescent="0.2">
      <c r="A132" s="88"/>
    </row>
    <row r="133" spans="1:1" x14ac:dyDescent="0.2">
      <c r="A133" s="88"/>
    </row>
    <row r="134" spans="1:1" x14ac:dyDescent="0.2">
      <c r="A134" s="88"/>
    </row>
    <row r="135" spans="1:1" x14ac:dyDescent="0.2">
      <c r="A135" s="88"/>
    </row>
    <row r="136" spans="1:1" x14ac:dyDescent="0.2">
      <c r="A136" s="88"/>
    </row>
    <row r="137" spans="1:1" x14ac:dyDescent="0.2">
      <c r="A137" s="88"/>
    </row>
    <row r="138" spans="1:1" x14ac:dyDescent="0.2">
      <c r="A138" s="88"/>
    </row>
    <row r="139" spans="1:1" x14ac:dyDescent="0.2">
      <c r="A139" s="88"/>
    </row>
    <row r="140" spans="1:1" x14ac:dyDescent="0.2">
      <c r="A140" s="88"/>
    </row>
    <row r="141" spans="1:1" x14ac:dyDescent="0.2">
      <c r="A141" s="88"/>
    </row>
    <row r="142" spans="1:1" x14ac:dyDescent="0.2">
      <c r="A142" s="88"/>
    </row>
    <row r="143" spans="1:1" x14ac:dyDescent="0.2">
      <c r="A143" s="88"/>
    </row>
    <row r="144" spans="1:1" x14ac:dyDescent="0.2">
      <c r="A144" s="88"/>
    </row>
    <row r="145" spans="1:1" x14ac:dyDescent="0.2">
      <c r="A145" s="88"/>
    </row>
    <row r="146" spans="1:1" x14ac:dyDescent="0.2">
      <c r="A146" s="88"/>
    </row>
    <row r="147" spans="1:1" x14ac:dyDescent="0.2">
      <c r="A147" s="88"/>
    </row>
    <row r="148" spans="1:1" x14ac:dyDescent="0.2">
      <c r="A148" s="88"/>
    </row>
    <row r="149" spans="1:1" x14ac:dyDescent="0.2">
      <c r="A149" s="88"/>
    </row>
    <row r="150" spans="1:1" x14ac:dyDescent="0.2">
      <c r="A150" s="88"/>
    </row>
    <row r="151" spans="1:1" x14ac:dyDescent="0.2">
      <c r="A151" s="88"/>
    </row>
    <row r="152" spans="1:1" x14ac:dyDescent="0.2">
      <c r="A152" s="88"/>
    </row>
    <row r="153" spans="1:1" x14ac:dyDescent="0.2">
      <c r="A153" s="88"/>
    </row>
    <row r="154" spans="1:1" x14ac:dyDescent="0.2">
      <c r="A154" s="88"/>
    </row>
    <row r="155" spans="1:1" x14ac:dyDescent="0.2">
      <c r="A155" s="88"/>
    </row>
    <row r="156" spans="1:1" x14ac:dyDescent="0.2">
      <c r="A156" s="88"/>
    </row>
    <row r="157" spans="1:1" x14ac:dyDescent="0.2">
      <c r="A157" s="88"/>
    </row>
    <row r="158" spans="1:1" x14ac:dyDescent="0.2">
      <c r="A158" s="88"/>
    </row>
    <row r="159" spans="1:1" x14ac:dyDescent="0.2">
      <c r="A159" s="88"/>
    </row>
    <row r="160" spans="1:1" x14ac:dyDescent="0.2">
      <c r="A160" s="88"/>
    </row>
    <row r="161" spans="1:1" x14ac:dyDescent="0.2">
      <c r="A161" s="88"/>
    </row>
    <row r="162" spans="1:1" x14ac:dyDescent="0.2">
      <c r="A162" s="88"/>
    </row>
    <row r="163" spans="1:1" x14ac:dyDescent="0.2">
      <c r="A163" s="88"/>
    </row>
    <row r="164" spans="1:1" x14ac:dyDescent="0.2">
      <c r="A164" s="88"/>
    </row>
    <row r="165" spans="1:1" x14ac:dyDescent="0.2">
      <c r="A165" s="88"/>
    </row>
    <row r="166" spans="1:1" x14ac:dyDescent="0.2">
      <c r="A166" s="88"/>
    </row>
    <row r="167" spans="1:1" x14ac:dyDescent="0.2">
      <c r="A167" s="88"/>
    </row>
    <row r="168" spans="1:1" x14ac:dyDescent="0.2">
      <c r="A168" s="88"/>
    </row>
    <row r="169" spans="1:1" x14ac:dyDescent="0.2">
      <c r="A169" s="88"/>
    </row>
    <row r="170" spans="1:1" x14ac:dyDescent="0.2">
      <c r="A170" s="88"/>
    </row>
    <row r="171" spans="1:1" x14ac:dyDescent="0.2">
      <c r="A171" s="88"/>
    </row>
    <row r="172" spans="1:1" x14ac:dyDescent="0.2">
      <c r="A172" s="88"/>
    </row>
    <row r="173" spans="1:1" x14ac:dyDescent="0.2">
      <c r="A173" s="88"/>
    </row>
    <row r="174" spans="1:1" x14ac:dyDescent="0.2">
      <c r="A174" s="88"/>
    </row>
    <row r="175" spans="1:1" x14ac:dyDescent="0.2">
      <c r="A175" s="88"/>
    </row>
    <row r="176" spans="1:1" x14ac:dyDescent="0.2">
      <c r="A176" s="88"/>
    </row>
    <row r="177" spans="1:1" x14ac:dyDescent="0.2">
      <c r="A177" s="88"/>
    </row>
    <row r="178" spans="1:1" x14ac:dyDescent="0.2">
      <c r="A178" s="88"/>
    </row>
    <row r="179" spans="1:1" x14ac:dyDescent="0.2">
      <c r="A179" s="88"/>
    </row>
    <row r="180" spans="1:1" x14ac:dyDescent="0.2">
      <c r="A180" s="88"/>
    </row>
    <row r="181" spans="1:1" x14ac:dyDescent="0.2">
      <c r="A181" s="88"/>
    </row>
    <row r="182" spans="1:1" x14ac:dyDescent="0.2">
      <c r="A182" s="88"/>
    </row>
    <row r="183" spans="1:1" x14ac:dyDescent="0.2">
      <c r="A183" s="88"/>
    </row>
    <row r="184" spans="1:1" x14ac:dyDescent="0.2">
      <c r="A184" s="88"/>
    </row>
    <row r="185" spans="1:1" x14ac:dyDescent="0.2">
      <c r="A185" s="88"/>
    </row>
    <row r="186" spans="1:1" x14ac:dyDescent="0.2">
      <c r="A186" s="88"/>
    </row>
  </sheetData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5:C138"/>
  <sheetViews>
    <sheetView zoomScale="70" zoomScaleNormal="70" workbookViewId="0">
      <selection activeCell="Q9" sqref="Q9"/>
    </sheetView>
  </sheetViews>
  <sheetFormatPr defaultColWidth="8.85546875" defaultRowHeight="12.75" x14ac:dyDescent="0.2"/>
  <cols>
    <col min="1" max="1" width="26.5703125" style="105" customWidth="1"/>
    <col min="2" max="2" width="12.28515625" style="14" customWidth="1"/>
    <col min="3" max="4" width="8.85546875" style="14"/>
    <col min="5" max="5" width="26.28515625" style="14" customWidth="1"/>
    <col min="6" max="13" width="8.85546875" style="14"/>
    <col min="14" max="14" width="29" style="14" customWidth="1"/>
    <col min="15" max="16" width="23.28515625" style="14" customWidth="1"/>
    <col min="17" max="17" width="18.5703125" style="14" customWidth="1"/>
    <col min="18" max="19" width="15.28515625" style="14" customWidth="1"/>
    <col min="20" max="20" width="16.7109375" style="14" customWidth="1"/>
    <col min="21" max="23" width="8.85546875" style="14"/>
    <col min="24" max="24" width="17.28515625" style="14" customWidth="1"/>
    <col min="25" max="16384" width="8.85546875" style="14"/>
  </cols>
  <sheetData>
    <row r="5" spans="1:3" ht="25.5" x14ac:dyDescent="0.2">
      <c r="A5" s="180" t="s">
        <v>331</v>
      </c>
      <c r="B5" s="79" t="s">
        <v>228</v>
      </c>
      <c r="C5" s="79" t="s">
        <v>330</v>
      </c>
    </row>
    <row r="6" spans="1:3" ht="51" x14ac:dyDescent="0.2">
      <c r="A6" s="182" t="s">
        <v>329</v>
      </c>
      <c r="B6" s="109"/>
      <c r="C6" s="108" t="e">
        <f>B6/B23</f>
        <v>#DIV/0!</v>
      </c>
    </row>
    <row r="7" spans="1:3" x14ac:dyDescent="0.2">
      <c r="A7" s="182" t="s">
        <v>328</v>
      </c>
      <c r="B7" s="109"/>
      <c r="C7" s="108" t="e">
        <f>B7/B23</f>
        <v>#DIV/0!</v>
      </c>
    </row>
    <row r="8" spans="1:3" x14ac:dyDescent="0.2">
      <c r="A8" s="182" t="s">
        <v>327</v>
      </c>
      <c r="B8" s="109"/>
      <c r="C8" s="108" t="e">
        <f>B8/B23</f>
        <v>#DIV/0!</v>
      </c>
    </row>
    <row r="9" spans="1:3" ht="114.75" x14ac:dyDescent="0.2">
      <c r="A9" s="182" t="s">
        <v>326</v>
      </c>
      <c r="B9" s="109"/>
      <c r="C9" s="108" t="e">
        <f>B9/B23</f>
        <v>#DIV/0!</v>
      </c>
    </row>
    <row r="10" spans="1:3" ht="25.5" x14ac:dyDescent="0.2">
      <c r="A10" s="182" t="s">
        <v>325</v>
      </c>
      <c r="B10" s="109"/>
      <c r="C10" s="108" t="e">
        <f>B10/B23</f>
        <v>#DIV/0!</v>
      </c>
    </row>
    <row r="11" spans="1:3" ht="63.75" x14ac:dyDescent="0.2">
      <c r="A11" s="182" t="s">
        <v>324</v>
      </c>
      <c r="B11" s="109"/>
      <c r="C11" s="108" t="e">
        <f>B11/B23</f>
        <v>#DIV/0!</v>
      </c>
    </row>
    <row r="12" spans="1:3" ht="76.5" x14ac:dyDescent="0.2">
      <c r="A12" s="182" t="s">
        <v>323</v>
      </c>
      <c r="B12" s="109"/>
      <c r="C12" s="108" t="e">
        <f>B12/B23</f>
        <v>#DIV/0!</v>
      </c>
    </row>
    <row r="13" spans="1:3" ht="63.75" x14ac:dyDescent="0.2">
      <c r="A13" s="182" t="s">
        <v>322</v>
      </c>
      <c r="B13" s="109"/>
      <c r="C13" s="108" t="e">
        <f>B13/B23</f>
        <v>#DIV/0!</v>
      </c>
    </row>
    <row r="14" spans="1:3" ht="114.75" x14ac:dyDescent="0.2">
      <c r="A14" s="182" t="s">
        <v>321</v>
      </c>
      <c r="B14" s="109"/>
      <c r="C14" s="108" t="e">
        <f>B14/B23</f>
        <v>#DIV/0!</v>
      </c>
    </row>
    <row r="15" spans="1:3" ht="38.25" x14ac:dyDescent="0.2">
      <c r="A15" s="182" t="s">
        <v>320</v>
      </c>
      <c r="B15" s="109"/>
      <c r="C15" s="108" t="e">
        <f>B15/B23</f>
        <v>#DIV/0!</v>
      </c>
    </row>
    <row r="16" spans="1:3" ht="76.5" x14ac:dyDescent="0.2">
      <c r="A16" s="182" t="s">
        <v>319</v>
      </c>
      <c r="B16" s="109"/>
      <c r="C16" s="108" t="e">
        <f>B16/B23</f>
        <v>#DIV/0!</v>
      </c>
    </row>
    <row r="17" spans="1:3" ht="51" x14ac:dyDescent="0.2">
      <c r="A17" s="182" t="s">
        <v>318</v>
      </c>
      <c r="B17" s="109"/>
      <c r="C17" s="108" t="e">
        <f>B17/B23</f>
        <v>#DIV/0!</v>
      </c>
    </row>
    <row r="18" spans="1:3" ht="76.5" x14ac:dyDescent="0.2">
      <c r="A18" s="182" t="s">
        <v>317</v>
      </c>
      <c r="B18" s="109"/>
      <c r="C18" s="108" t="e">
        <f>B18/B23</f>
        <v>#DIV/0!</v>
      </c>
    </row>
    <row r="19" spans="1:3" ht="89.25" x14ac:dyDescent="0.2">
      <c r="A19" s="182" t="s">
        <v>316</v>
      </c>
      <c r="B19" s="109"/>
      <c r="C19" s="108" t="e">
        <f>B19/B23</f>
        <v>#DIV/0!</v>
      </c>
    </row>
    <row r="20" spans="1:3" ht="63.75" x14ac:dyDescent="0.2">
      <c r="A20" s="182" t="s">
        <v>315</v>
      </c>
      <c r="B20" s="109"/>
      <c r="C20" s="108" t="e">
        <f>B20/B23</f>
        <v>#DIV/0!</v>
      </c>
    </row>
    <row r="21" spans="1:3" x14ac:dyDescent="0.2">
      <c r="A21" s="182" t="s">
        <v>314</v>
      </c>
      <c r="B21" s="109"/>
      <c r="C21" s="108" t="e">
        <f>B21/B23</f>
        <v>#DIV/0!</v>
      </c>
    </row>
    <row r="22" spans="1:3" ht="63.75" x14ac:dyDescent="0.2">
      <c r="A22" s="182" t="s">
        <v>313</v>
      </c>
      <c r="B22" s="109"/>
      <c r="C22" s="108" t="e">
        <f>B22/B23</f>
        <v>#DIV/0!</v>
      </c>
    </row>
    <row r="23" spans="1:3" x14ac:dyDescent="0.2">
      <c r="A23" s="180" t="s">
        <v>277</v>
      </c>
      <c r="B23" s="107">
        <f>SUM(B6:B22)</f>
        <v>0</v>
      </c>
      <c r="C23" s="106" t="e">
        <f>SUM(C6:C22)</f>
        <v>#DIV/0!</v>
      </c>
    </row>
    <row r="24" spans="1:3" x14ac:dyDescent="0.2">
      <c r="A24" s="178"/>
    </row>
    <row r="25" spans="1:3" x14ac:dyDescent="0.2">
      <c r="A25" s="178"/>
    </row>
    <row r="26" spans="1:3" x14ac:dyDescent="0.2">
      <c r="A26" s="178"/>
    </row>
    <row r="27" spans="1:3" x14ac:dyDescent="0.2">
      <c r="A27" s="178"/>
    </row>
    <row r="28" spans="1:3" x14ac:dyDescent="0.2">
      <c r="A28" s="178"/>
    </row>
    <row r="29" spans="1:3" x14ac:dyDescent="0.2">
      <c r="A29" s="178"/>
    </row>
    <row r="30" spans="1:3" x14ac:dyDescent="0.2">
      <c r="A30" s="178"/>
    </row>
    <row r="31" spans="1:3" x14ac:dyDescent="0.2">
      <c r="A31" s="178"/>
    </row>
    <row r="32" spans="1:3" x14ac:dyDescent="0.2">
      <c r="A32" s="178"/>
    </row>
    <row r="33" spans="1:1" x14ac:dyDescent="0.2">
      <c r="A33" s="178"/>
    </row>
    <row r="34" spans="1:1" x14ac:dyDescent="0.2">
      <c r="A34" s="178"/>
    </row>
    <row r="35" spans="1:1" x14ac:dyDescent="0.2">
      <c r="A35" s="178"/>
    </row>
    <row r="36" spans="1:1" x14ac:dyDescent="0.2">
      <c r="A36" s="178"/>
    </row>
    <row r="37" spans="1:1" x14ac:dyDescent="0.2">
      <c r="A37" s="178"/>
    </row>
    <row r="38" spans="1:1" x14ac:dyDescent="0.2">
      <c r="A38" s="178"/>
    </row>
    <row r="39" spans="1:1" x14ac:dyDescent="0.2">
      <c r="A39" s="178"/>
    </row>
    <row r="40" spans="1:1" x14ac:dyDescent="0.2">
      <c r="A40" s="178"/>
    </row>
    <row r="41" spans="1:1" x14ac:dyDescent="0.2">
      <c r="A41" s="178"/>
    </row>
    <row r="42" spans="1:1" x14ac:dyDescent="0.2">
      <c r="A42" s="178"/>
    </row>
    <row r="43" spans="1:1" x14ac:dyDescent="0.2">
      <c r="A43" s="178"/>
    </row>
    <row r="44" spans="1:1" x14ac:dyDescent="0.2">
      <c r="A44" s="178"/>
    </row>
    <row r="45" spans="1:1" x14ac:dyDescent="0.2">
      <c r="A45" s="178"/>
    </row>
    <row r="46" spans="1:1" x14ac:dyDescent="0.2">
      <c r="A46" s="178"/>
    </row>
    <row r="47" spans="1:1" x14ac:dyDescent="0.2">
      <c r="A47" s="178"/>
    </row>
    <row r="48" spans="1:1" x14ac:dyDescent="0.2">
      <c r="A48" s="178"/>
    </row>
    <row r="49" spans="1:1" x14ac:dyDescent="0.2">
      <c r="A49" s="178"/>
    </row>
    <row r="50" spans="1:1" x14ac:dyDescent="0.2">
      <c r="A50" s="178"/>
    </row>
    <row r="51" spans="1:1" x14ac:dyDescent="0.2">
      <c r="A51" s="178"/>
    </row>
    <row r="52" spans="1:1" x14ac:dyDescent="0.2">
      <c r="A52" s="178"/>
    </row>
    <row r="53" spans="1:1" x14ac:dyDescent="0.2">
      <c r="A53" s="178"/>
    </row>
    <row r="54" spans="1:1" x14ac:dyDescent="0.2">
      <c r="A54" s="178"/>
    </row>
    <row r="55" spans="1:1" x14ac:dyDescent="0.2">
      <c r="A55" s="178"/>
    </row>
    <row r="56" spans="1:1" x14ac:dyDescent="0.2">
      <c r="A56" s="178"/>
    </row>
    <row r="57" spans="1:1" x14ac:dyDescent="0.2">
      <c r="A57" s="178"/>
    </row>
    <row r="58" spans="1:1" x14ac:dyDescent="0.2">
      <c r="A58" s="178"/>
    </row>
    <row r="59" spans="1:1" x14ac:dyDescent="0.2">
      <c r="A59" s="178"/>
    </row>
    <row r="60" spans="1:1" x14ac:dyDescent="0.2">
      <c r="A60" s="178"/>
    </row>
    <row r="61" spans="1:1" x14ac:dyDescent="0.2">
      <c r="A61" s="178"/>
    </row>
    <row r="62" spans="1:1" x14ac:dyDescent="0.2">
      <c r="A62" s="178"/>
    </row>
    <row r="63" spans="1:1" x14ac:dyDescent="0.2">
      <c r="A63" s="178"/>
    </row>
    <row r="64" spans="1:1" x14ac:dyDescent="0.2">
      <c r="A64" s="178"/>
    </row>
    <row r="65" spans="1:1" x14ac:dyDescent="0.2">
      <c r="A65" s="178"/>
    </row>
    <row r="66" spans="1:1" x14ac:dyDescent="0.2">
      <c r="A66" s="178"/>
    </row>
    <row r="67" spans="1:1" x14ac:dyDescent="0.2">
      <c r="A67" s="178"/>
    </row>
    <row r="68" spans="1:1" x14ac:dyDescent="0.2">
      <c r="A68" s="178"/>
    </row>
    <row r="69" spans="1:1" x14ac:dyDescent="0.2">
      <c r="A69" s="178"/>
    </row>
    <row r="70" spans="1:1" x14ac:dyDescent="0.2">
      <c r="A70" s="178"/>
    </row>
    <row r="71" spans="1:1" x14ac:dyDescent="0.2">
      <c r="A71" s="178"/>
    </row>
    <row r="72" spans="1:1" x14ac:dyDescent="0.2">
      <c r="A72" s="178"/>
    </row>
    <row r="73" spans="1:1" x14ac:dyDescent="0.2">
      <c r="A73" s="178"/>
    </row>
    <row r="74" spans="1:1" x14ac:dyDescent="0.2">
      <c r="A74" s="178"/>
    </row>
    <row r="75" spans="1:1" x14ac:dyDescent="0.2">
      <c r="A75" s="178"/>
    </row>
    <row r="76" spans="1:1" x14ac:dyDescent="0.2">
      <c r="A76" s="178"/>
    </row>
    <row r="77" spans="1:1" x14ac:dyDescent="0.2">
      <c r="A77" s="178"/>
    </row>
    <row r="78" spans="1:1" x14ac:dyDescent="0.2">
      <c r="A78" s="178"/>
    </row>
    <row r="79" spans="1:1" x14ac:dyDescent="0.2">
      <c r="A79" s="178"/>
    </row>
    <row r="80" spans="1:1" x14ac:dyDescent="0.2">
      <c r="A80" s="178"/>
    </row>
    <row r="81" spans="1:1" x14ac:dyDescent="0.2">
      <c r="A81" s="178"/>
    </row>
    <row r="82" spans="1:1" x14ac:dyDescent="0.2">
      <c r="A82" s="178"/>
    </row>
    <row r="83" spans="1:1" x14ac:dyDescent="0.2">
      <c r="A83" s="178"/>
    </row>
    <row r="84" spans="1:1" x14ac:dyDescent="0.2">
      <c r="A84" s="178"/>
    </row>
    <row r="85" spans="1:1" x14ac:dyDescent="0.2">
      <c r="A85" s="178"/>
    </row>
    <row r="86" spans="1:1" x14ac:dyDescent="0.2">
      <c r="A86" s="178"/>
    </row>
    <row r="87" spans="1:1" x14ac:dyDescent="0.2">
      <c r="A87" s="178"/>
    </row>
    <row r="88" spans="1:1" x14ac:dyDescent="0.2">
      <c r="A88" s="178"/>
    </row>
    <row r="89" spans="1:1" x14ac:dyDescent="0.2">
      <c r="A89" s="178"/>
    </row>
    <row r="90" spans="1:1" x14ac:dyDescent="0.2">
      <c r="A90" s="178"/>
    </row>
    <row r="91" spans="1:1" x14ac:dyDescent="0.2">
      <c r="A91" s="178"/>
    </row>
    <row r="92" spans="1:1" x14ac:dyDescent="0.2">
      <c r="A92" s="178"/>
    </row>
    <row r="93" spans="1:1" x14ac:dyDescent="0.2">
      <c r="A93" s="178"/>
    </row>
    <row r="94" spans="1:1" x14ac:dyDescent="0.2">
      <c r="A94" s="178"/>
    </row>
    <row r="95" spans="1:1" x14ac:dyDescent="0.2">
      <c r="A95" s="178"/>
    </row>
    <row r="96" spans="1:1" x14ac:dyDescent="0.2">
      <c r="A96" s="178"/>
    </row>
    <row r="97" spans="1:1" x14ac:dyDescent="0.2">
      <c r="A97" s="178"/>
    </row>
    <row r="98" spans="1:1" x14ac:dyDescent="0.2">
      <c r="A98" s="178"/>
    </row>
    <row r="99" spans="1:1" x14ac:dyDescent="0.2">
      <c r="A99" s="178"/>
    </row>
    <row r="100" spans="1:1" x14ac:dyDescent="0.2">
      <c r="A100" s="178"/>
    </row>
    <row r="101" spans="1:1" x14ac:dyDescent="0.2">
      <c r="A101" s="178"/>
    </row>
    <row r="102" spans="1:1" x14ac:dyDescent="0.2">
      <c r="A102" s="178"/>
    </row>
    <row r="103" spans="1:1" x14ac:dyDescent="0.2">
      <c r="A103" s="178"/>
    </row>
    <row r="104" spans="1:1" x14ac:dyDescent="0.2">
      <c r="A104" s="178"/>
    </row>
    <row r="105" spans="1:1" x14ac:dyDescent="0.2">
      <c r="A105" s="178"/>
    </row>
    <row r="106" spans="1:1" x14ac:dyDescent="0.2">
      <c r="A106" s="178"/>
    </row>
    <row r="107" spans="1:1" x14ac:dyDescent="0.2">
      <c r="A107" s="178"/>
    </row>
    <row r="108" spans="1:1" x14ac:dyDescent="0.2">
      <c r="A108" s="178"/>
    </row>
    <row r="109" spans="1:1" x14ac:dyDescent="0.2">
      <c r="A109" s="178"/>
    </row>
    <row r="110" spans="1:1" x14ac:dyDescent="0.2">
      <c r="A110" s="178"/>
    </row>
    <row r="111" spans="1:1" x14ac:dyDescent="0.2">
      <c r="A111" s="178"/>
    </row>
    <row r="112" spans="1:1" x14ac:dyDescent="0.2">
      <c r="A112" s="178"/>
    </row>
    <row r="113" spans="1:1" x14ac:dyDescent="0.2">
      <c r="A113" s="178"/>
    </row>
    <row r="114" spans="1:1" x14ac:dyDescent="0.2">
      <c r="A114" s="178"/>
    </row>
    <row r="115" spans="1:1" x14ac:dyDescent="0.2">
      <c r="A115" s="178"/>
    </row>
    <row r="116" spans="1:1" x14ac:dyDescent="0.2">
      <c r="A116" s="178"/>
    </row>
    <row r="117" spans="1:1" x14ac:dyDescent="0.2">
      <c r="A117" s="178"/>
    </row>
    <row r="118" spans="1:1" x14ac:dyDescent="0.2">
      <c r="A118" s="178"/>
    </row>
    <row r="119" spans="1:1" x14ac:dyDescent="0.2">
      <c r="A119" s="178"/>
    </row>
    <row r="120" spans="1:1" x14ac:dyDescent="0.2">
      <c r="A120" s="178"/>
    </row>
    <row r="121" spans="1:1" x14ac:dyDescent="0.2">
      <c r="A121" s="178"/>
    </row>
    <row r="122" spans="1:1" x14ac:dyDescent="0.2">
      <c r="A122" s="178"/>
    </row>
    <row r="123" spans="1:1" x14ac:dyDescent="0.2">
      <c r="A123" s="178"/>
    </row>
    <row r="124" spans="1:1" x14ac:dyDescent="0.2">
      <c r="A124" s="178"/>
    </row>
    <row r="125" spans="1:1" x14ac:dyDescent="0.2">
      <c r="A125" s="178"/>
    </row>
    <row r="126" spans="1:1" x14ac:dyDescent="0.2">
      <c r="A126" s="178"/>
    </row>
    <row r="127" spans="1:1" x14ac:dyDescent="0.2">
      <c r="A127" s="178"/>
    </row>
    <row r="128" spans="1:1" x14ac:dyDescent="0.2">
      <c r="A128" s="178"/>
    </row>
    <row r="129" spans="1:1" x14ac:dyDescent="0.2">
      <c r="A129" s="178"/>
    </row>
    <row r="130" spans="1:1" x14ac:dyDescent="0.2">
      <c r="A130" s="178"/>
    </row>
    <row r="131" spans="1:1" x14ac:dyDescent="0.2">
      <c r="A131" s="178"/>
    </row>
    <row r="132" spans="1:1" x14ac:dyDescent="0.2">
      <c r="A132" s="178"/>
    </row>
    <row r="133" spans="1:1" x14ac:dyDescent="0.2">
      <c r="A133" s="178"/>
    </row>
    <row r="134" spans="1:1" x14ac:dyDescent="0.2">
      <c r="A134" s="178"/>
    </row>
    <row r="135" spans="1:1" x14ac:dyDescent="0.2">
      <c r="A135" s="178"/>
    </row>
    <row r="136" spans="1:1" x14ac:dyDescent="0.2">
      <c r="A136" s="178"/>
    </row>
    <row r="137" spans="1:1" x14ac:dyDescent="0.2">
      <c r="A137" s="178"/>
    </row>
    <row r="138" spans="1:1" x14ac:dyDescent="0.2">
      <c r="A138" s="178"/>
    </row>
  </sheetData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T20"/>
  <sheetViews>
    <sheetView workbookViewId="0">
      <selection activeCell="V5" sqref="V5"/>
    </sheetView>
  </sheetViews>
  <sheetFormatPr defaultRowHeight="15" x14ac:dyDescent="0.25"/>
  <cols>
    <col min="2" max="2" width="29.85546875" customWidth="1"/>
    <col min="3" max="4" width="14.7109375" customWidth="1"/>
    <col min="17" max="17" width="35.5703125" customWidth="1"/>
  </cols>
  <sheetData>
    <row r="2" spans="2:20" x14ac:dyDescent="0.25">
      <c r="B2" s="233" t="s">
        <v>677</v>
      </c>
      <c r="C2" s="243" t="s">
        <v>399</v>
      </c>
      <c r="D2" s="243"/>
    </row>
    <row r="3" spans="2:20" x14ac:dyDescent="0.25">
      <c r="B3" s="233"/>
      <c r="C3" s="243"/>
      <c r="D3" s="243"/>
      <c r="O3" t="s">
        <v>398</v>
      </c>
    </row>
    <row r="4" spans="2:20" ht="24" customHeight="1" x14ac:dyDescent="0.25">
      <c r="B4" s="233"/>
      <c r="C4" s="91">
        <v>2022</v>
      </c>
      <c r="D4" s="91">
        <v>2023</v>
      </c>
    </row>
    <row r="5" spans="2:20" x14ac:dyDescent="0.25">
      <c r="B5" s="121" t="s">
        <v>397</v>
      </c>
      <c r="C5" s="76">
        <v>10022</v>
      </c>
      <c r="D5" s="76"/>
    </row>
    <row r="6" spans="2:20" x14ac:dyDescent="0.25">
      <c r="B6" s="121" t="s">
        <v>396</v>
      </c>
      <c r="C6" s="76">
        <v>3507</v>
      </c>
      <c r="D6" s="76"/>
    </row>
    <row r="7" spans="2:20" x14ac:dyDescent="0.25">
      <c r="B7" s="121" t="s">
        <v>395</v>
      </c>
      <c r="C7" s="76">
        <v>1984</v>
      </c>
      <c r="D7" s="76"/>
    </row>
    <row r="8" spans="2:20" x14ac:dyDescent="0.25">
      <c r="B8" s="121" t="s">
        <v>394</v>
      </c>
      <c r="C8" s="76">
        <v>1870</v>
      </c>
      <c r="D8" s="76"/>
    </row>
    <row r="9" spans="2:20" x14ac:dyDescent="0.25">
      <c r="B9" s="121" t="s">
        <v>393</v>
      </c>
      <c r="C9" s="76">
        <v>589</v>
      </c>
      <c r="D9" s="76"/>
    </row>
    <row r="10" spans="2:20" x14ac:dyDescent="0.25">
      <c r="B10" s="91" t="s">
        <v>392</v>
      </c>
      <c r="C10" s="120">
        <f>SUM(C5:C9)</f>
        <v>17972</v>
      </c>
      <c r="D10" s="120">
        <f>SUM(D5:D9)</f>
        <v>0</v>
      </c>
      <c r="P10" s="122"/>
      <c r="Q10" s="124"/>
      <c r="R10" s="123"/>
      <c r="S10" s="123"/>
      <c r="T10" s="122"/>
    </row>
    <row r="11" spans="2:20" x14ac:dyDescent="0.25">
      <c r="B11" s="121" t="s">
        <v>391</v>
      </c>
      <c r="C11" s="76">
        <v>8845</v>
      </c>
      <c r="D11" s="76"/>
    </row>
    <row r="12" spans="2:20" x14ac:dyDescent="0.25">
      <c r="B12" s="179" t="s">
        <v>678</v>
      </c>
      <c r="C12" s="76">
        <v>1547</v>
      </c>
      <c r="D12" s="76"/>
    </row>
    <row r="13" spans="2:20" x14ac:dyDescent="0.25">
      <c r="B13" s="14"/>
      <c r="C13" s="14"/>
      <c r="D13" s="14"/>
    </row>
    <row r="14" spans="2:20" x14ac:dyDescent="0.25">
      <c r="B14" s="120" t="s">
        <v>390</v>
      </c>
      <c r="C14" s="120">
        <v>2022</v>
      </c>
      <c r="D14" s="120">
        <v>2023</v>
      </c>
    </row>
    <row r="15" spans="2:20" x14ac:dyDescent="0.25">
      <c r="B15" s="111" t="s">
        <v>389</v>
      </c>
      <c r="C15" s="76">
        <v>464</v>
      </c>
      <c r="D15" s="76"/>
    </row>
    <row r="16" spans="2:20" x14ac:dyDescent="0.25">
      <c r="B16" s="111" t="s">
        <v>388</v>
      </c>
      <c r="C16" s="76">
        <v>1321</v>
      </c>
      <c r="D16" s="76"/>
    </row>
    <row r="17" spans="2:4" x14ac:dyDescent="0.25">
      <c r="B17" s="289" t="s">
        <v>679</v>
      </c>
      <c r="C17" s="287">
        <v>10</v>
      </c>
      <c r="D17" s="76"/>
    </row>
    <row r="18" spans="2:4" x14ac:dyDescent="0.25">
      <c r="B18" s="289" t="s">
        <v>680</v>
      </c>
      <c r="C18" s="287">
        <v>11</v>
      </c>
      <c r="D18" s="76"/>
    </row>
    <row r="19" spans="2:4" x14ac:dyDescent="0.25">
      <c r="B19" s="288" t="s">
        <v>387</v>
      </c>
      <c r="C19" s="76">
        <v>4870</v>
      </c>
      <c r="D19" s="76"/>
    </row>
    <row r="20" spans="2:4" x14ac:dyDescent="0.25">
      <c r="B20" s="111" t="s">
        <v>386</v>
      </c>
      <c r="C20" s="76">
        <v>2221</v>
      </c>
      <c r="D20" s="76"/>
    </row>
  </sheetData>
  <mergeCells count="2">
    <mergeCell ref="B2:B4"/>
    <mergeCell ref="C2:D3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D22"/>
  <sheetViews>
    <sheetView workbookViewId="0">
      <selection activeCell="B18" sqref="B18:D21"/>
    </sheetView>
  </sheetViews>
  <sheetFormatPr defaultRowHeight="15" x14ac:dyDescent="0.25"/>
  <cols>
    <col min="2" max="2" width="30.5703125" customWidth="1"/>
    <col min="3" max="4" width="12.5703125" customWidth="1"/>
  </cols>
  <sheetData>
    <row r="2" spans="2:4" x14ac:dyDescent="0.25">
      <c r="B2" s="233" t="s">
        <v>411</v>
      </c>
      <c r="C2" s="243" t="s">
        <v>399</v>
      </c>
      <c r="D2" s="243"/>
    </row>
    <row r="3" spans="2:4" x14ac:dyDescent="0.25">
      <c r="B3" s="233"/>
      <c r="C3" s="243"/>
      <c r="D3" s="243"/>
    </row>
    <row r="4" spans="2:4" x14ac:dyDescent="0.25">
      <c r="B4" s="233"/>
      <c r="C4" s="91" t="s">
        <v>124</v>
      </c>
      <c r="D4" s="91" t="s">
        <v>228</v>
      </c>
    </row>
    <row r="5" spans="2:4" x14ac:dyDescent="0.25">
      <c r="B5" s="128" t="s">
        <v>410</v>
      </c>
      <c r="C5" s="125">
        <v>1176</v>
      </c>
      <c r="D5" s="125"/>
    </row>
    <row r="6" spans="2:4" x14ac:dyDescent="0.25">
      <c r="B6" s="128" t="s">
        <v>409</v>
      </c>
      <c r="C6" s="125">
        <v>892</v>
      </c>
      <c r="D6" s="125"/>
    </row>
    <row r="7" spans="2:4" x14ac:dyDescent="0.25">
      <c r="B7" s="128" t="s">
        <v>408</v>
      </c>
      <c r="C7" s="125">
        <v>414</v>
      </c>
      <c r="D7" s="125"/>
    </row>
    <row r="8" spans="2:4" x14ac:dyDescent="0.25">
      <c r="B8" s="128" t="s">
        <v>407</v>
      </c>
      <c r="C8" s="125">
        <v>185</v>
      </c>
      <c r="D8" s="125"/>
    </row>
    <row r="9" spans="2:4" x14ac:dyDescent="0.25">
      <c r="B9" s="128" t="s">
        <v>406</v>
      </c>
      <c r="C9" s="125">
        <v>55</v>
      </c>
      <c r="D9" s="125"/>
    </row>
    <row r="10" spans="2:4" x14ac:dyDescent="0.25">
      <c r="B10" s="91" t="s">
        <v>392</v>
      </c>
      <c r="C10" s="120">
        <f>SUM(C5:C9)</f>
        <v>2722</v>
      </c>
      <c r="D10" s="120">
        <f>SUM(D5:D9)</f>
        <v>0</v>
      </c>
    </row>
    <row r="11" spans="2:4" x14ac:dyDescent="0.25">
      <c r="B11" s="128" t="s">
        <v>405</v>
      </c>
      <c r="C11" s="125">
        <v>722</v>
      </c>
      <c r="D11" s="125"/>
    </row>
    <row r="12" spans="2:4" x14ac:dyDescent="0.25">
      <c r="B12" s="14"/>
      <c r="C12" s="14"/>
      <c r="D12" s="14"/>
    </row>
    <row r="13" spans="2:4" ht="24" customHeight="1" x14ac:dyDescent="0.25"/>
    <row r="18" spans="2:4" x14ac:dyDescent="0.25">
      <c r="B18" s="127" t="s">
        <v>404</v>
      </c>
      <c r="C18" s="91" t="s">
        <v>124</v>
      </c>
      <c r="D18" s="91" t="s">
        <v>228</v>
      </c>
    </row>
    <row r="19" spans="2:4" x14ac:dyDescent="0.25">
      <c r="B19" s="126" t="s">
        <v>403</v>
      </c>
      <c r="C19" s="125">
        <v>10</v>
      </c>
      <c r="D19" s="125"/>
    </row>
    <row r="20" spans="2:4" x14ac:dyDescent="0.25">
      <c r="B20" s="126" t="s">
        <v>402</v>
      </c>
      <c r="C20" s="125">
        <v>4927</v>
      </c>
      <c r="D20" s="125"/>
    </row>
    <row r="21" spans="2:4" x14ac:dyDescent="0.25">
      <c r="B21" s="126" t="s">
        <v>401</v>
      </c>
      <c r="C21" s="125">
        <v>2644</v>
      </c>
      <c r="D21" s="125"/>
    </row>
    <row r="22" spans="2:4" x14ac:dyDescent="0.25">
      <c r="B22" s="126" t="s">
        <v>400</v>
      </c>
      <c r="C22" s="125">
        <v>2077</v>
      </c>
      <c r="D22" s="125"/>
    </row>
  </sheetData>
  <mergeCells count="2">
    <mergeCell ref="B2:B4"/>
    <mergeCell ref="C2:D3"/>
  </mergeCell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D13"/>
  <sheetViews>
    <sheetView workbookViewId="0">
      <selection activeCell="E8" sqref="E8"/>
    </sheetView>
  </sheetViews>
  <sheetFormatPr defaultRowHeight="15" x14ac:dyDescent="0.25"/>
  <cols>
    <col min="2" max="2" width="30.28515625" customWidth="1"/>
    <col min="3" max="4" width="13.28515625" customWidth="1"/>
  </cols>
  <sheetData>
    <row r="3" spans="2:4" s="131" customFormat="1" ht="19.149999999999999" customHeight="1" x14ac:dyDescent="0.25">
      <c r="B3" s="233" t="s">
        <v>416</v>
      </c>
      <c r="C3" s="233" t="s">
        <v>685</v>
      </c>
      <c r="D3" s="233"/>
    </row>
    <row r="4" spans="2:4" s="131" customFormat="1" ht="19.149999999999999" customHeight="1" x14ac:dyDescent="0.25">
      <c r="B4" s="233"/>
      <c r="C4" s="233"/>
      <c r="D4" s="233"/>
    </row>
    <row r="5" spans="2:4" x14ac:dyDescent="0.25">
      <c r="B5" s="233"/>
      <c r="C5" s="91" t="s">
        <v>124</v>
      </c>
      <c r="D5" s="91" t="s">
        <v>228</v>
      </c>
    </row>
    <row r="6" spans="2:4" x14ac:dyDescent="0.25">
      <c r="B6" s="111" t="s">
        <v>415</v>
      </c>
      <c r="C6" s="76">
        <v>1320</v>
      </c>
      <c r="D6" s="76"/>
    </row>
    <row r="7" spans="2:4" x14ac:dyDescent="0.25">
      <c r="B7" s="111" t="s">
        <v>414</v>
      </c>
      <c r="C7" s="76">
        <v>79266</v>
      </c>
      <c r="D7" s="76"/>
    </row>
    <row r="8" spans="2:4" x14ac:dyDescent="0.25">
      <c r="B8" s="111" t="s">
        <v>413</v>
      </c>
      <c r="C8" s="76">
        <v>16571</v>
      </c>
      <c r="D8" s="76"/>
    </row>
    <row r="9" spans="2:4" x14ac:dyDescent="0.25">
      <c r="B9" s="111" t="s">
        <v>412</v>
      </c>
      <c r="C9" s="76">
        <v>36558</v>
      </c>
      <c r="D9" s="76"/>
    </row>
    <row r="10" spans="2:4" x14ac:dyDescent="0.25">
      <c r="B10" s="130" t="s">
        <v>392</v>
      </c>
      <c r="C10" s="120">
        <f>SUM(C6:C9)</f>
        <v>133715</v>
      </c>
      <c r="D10" s="120">
        <f>SUM(D6:D9)</f>
        <v>0</v>
      </c>
    </row>
    <row r="11" spans="2:4" x14ac:dyDescent="0.25">
      <c r="B11" s="129"/>
      <c r="C11" s="129"/>
      <c r="D11" s="129"/>
    </row>
    <row r="12" spans="2:4" x14ac:dyDescent="0.25">
      <c r="B12" s="129"/>
      <c r="C12" s="129"/>
      <c r="D12" s="129"/>
    </row>
    <row r="13" spans="2:4" x14ac:dyDescent="0.25">
      <c r="B13" s="129"/>
      <c r="C13" s="129"/>
      <c r="D13" s="129"/>
    </row>
  </sheetData>
  <mergeCells count="2">
    <mergeCell ref="B3:B5"/>
    <mergeCell ref="C3:D4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5:E11"/>
  <sheetViews>
    <sheetView workbookViewId="0">
      <selection activeCell="B18" sqref="B18:D21"/>
    </sheetView>
  </sheetViews>
  <sheetFormatPr defaultRowHeight="15" x14ac:dyDescent="0.25"/>
  <cols>
    <col min="3" max="3" width="32" customWidth="1"/>
  </cols>
  <sheetData>
    <row r="5" spans="3:5" ht="43.15" customHeight="1" x14ac:dyDescent="0.25">
      <c r="C5" s="90" t="s">
        <v>423</v>
      </c>
      <c r="D5" s="91" t="s">
        <v>124</v>
      </c>
      <c r="E5" s="91" t="s">
        <v>228</v>
      </c>
    </row>
    <row r="6" spans="3:5" ht="22.15" customHeight="1" x14ac:dyDescent="0.25">
      <c r="C6" s="128" t="s">
        <v>422</v>
      </c>
      <c r="D6" s="133">
        <v>25</v>
      </c>
      <c r="E6" s="132"/>
    </row>
    <row r="7" spans="3:5" ht="22.15" customHeight="1" x14ac:dyDescent="0.25">
      <c r="C7" s="128" t="s">
        <v>421</v>
      </c>
      <c r="D7" s="133">
        <v>1782</v>
      </c>
      <c r="E7" s="132"/>
    </row>
    <row r="8" spans="3:5" ht="30.6" customHeight="1" x14ac:dyDescent="0.25">
      <c r="C8" s="134" t="s">
        <v>420</v>
      </c>
      <c r="D8" s="133">
        <v>254</v>
      </c>
      <c r="E8" s="132"/>
    </row>
    <row r="9" spans="3:5" ht="30.6" customHeight="1" x14ac:dyDescent="0.25">
      <c r="C9" s="134" t="s">
        <v>419</v>
      </c>
      <c r="D9" s="133">
        <v>30</v>
      </c>
      <c r="E9" s="132"/>
    </row>
    <row r="10" spans="3:5" ht="25.5" x14ac:dyDescent="0.25">
      <c r="C10" s="134" t="s">
        <v>418</v>
      </c>
      <c r="D10" s="133">
        <v>29837</v>
      </c>
      <c r="E10" s="132"/>
    </row>
    <row r="11" spans="3:5" ht="28.9" customHeight="1" x14ac:dyDescent="0.25">
      <c r="C11" s="134" t="s">
        <v>417</v>
      </c>
      <c r="D11" s="133">
        <v>142</v>
      </c>
      <c r="E11" s="132"/>
    </row>
  </sheetData>
  <pageMargins left="0.7" right="0.7" top="0.75" bottom="0.75" header="0.3" footer="0.3"/>
  <pageSetup paperSize="9" orientation="portrait" horizontalDpi="1200" verticalDpi="120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D26"/>
  <sheetViews>
    <sheetView workbookViewId="0">
      <selection activeCell="B31" sqref="B31"/>
    </sheetView>
  </sheetViews>
  <sheetFormatPr defaultRowHeight="15" x14ac:dyDescent="0.25"/>
  <cols>
    <col min="2" max="2" width="37.140625" customWidth="1"/>
    <col min="3" max="4" width="12.7109375" customWidth="1"/>
    <col min="15" max="15" width="27.140625" customWidth="1"/>
  </cols>
  <sheetData>
    <row r="3" spans="2:4" ht="28.9" customHeight="1" x14ac:dyDescent="0.25">
      <c r="B3" s="230" t="s">
        <v>438</v>
      </c>
      <c r="C3" s="263" t="s">
        <v>437</v>
      </c>
      <c r="D3" s="263"/>
    </row>
    <row r="4" spans="2:4" x14ac:dyDescent="0.25">
      <c r="B4" s="230"/>
      <c r="C4" s="80" t="s">
        <v>124</v>
      </c>
      <c r="D4" s="80" t="s">
        <v>228</v>
      </c>
    </row>
    <row r="5" spans="2:4" ht="39" x14ac:dyDescent="0.25">
      <c r="B5" s="135" t="s">
        <v>436</v>
      </c>
      <c r="C5" s="109">
        <v>3</v>
      </c>
      <c r="D5" s="109"/>
    </row>
    <row r="6" spans="2:4" x14ac:dyDescent="0.25">
      <c r="B6" s="111" t="s">
        <v>435</v>
      </c>
      <c r="C6" s="109">
        <v>99</v>
      </c>
      <c r="D6" s="109"/>
    </row>
    <row r="7" spans="2:4" x14ac:dyDescent="0.25">
      <c r="B7" s="111" t="s">
        <v>434</v>
      </c>
      <c r="C7" s="109">
        <v>20513</v>
      </c>
      <c r="D7" s="109"/>
    </row>
    <row r="8" spans="2:4" x14ac:dyDescent="0.25">
      <c r="B8" s="111" t="s">
        <v>433</v>
      </c>
      <c r="C8" s="109">
        <v>350</v>
      </c>
      <c r="D8" s="109"/>
    </row>
    <row r="9" spans="2:4" ht="26.25" x14ac:dyDescent="0.25">
      <c r="B9" s="135" t="s">
        <v>432</v>
      </c>
      <c r="C9" s="109">
        <v>175793</v>
      </c>
      <c r="D9" s="109"/>
    </row>
    <row r="10" spans="2:4" x14ac:dyDescent="0.25">
      <c r="B10" s="136" t="s">
        <v>431</v>
      </c>
      <c r="C10" s="109">
        <v>127114</v>
      </c>
      <c r="D10" s="109"/>
    </row>
    <row r="11" spans="2:4" x14ac:dyDescent="0.25">
      <c r="B11" s="136" t="s">
        <v>430</v>
      </c>
      <c r="C11" s="109">
        <v>10015</v>
      </c>
      <c r="D11" s="109"/>
    </row>
    <row r="12" spans="2:4" x14ac:dyDescent="0.25">
      <c r="B12" s="136" t="s">
        <v>429</v>
      </c>
      <c r="C12" s="109">
        <v>163</v>
      </c>
      <c r="D12" s="109"/>
    </row>
    <row r="13" spans="2:4" x14ac:dyDescent="0.25">
      <c r="B13" s="136" t="s">
        <v>428</v>
      </c>
      <c r="C13" s="109">
        <v>8536</v>
      </c>
      <c r="D13" s="109"/>
    </row>
    <row r="23" spans="2:4" x14ac:dyDescent="0.25">
      <c r="B23" s="79" t="s">
        <v>427</v>
      </c>
      <c r="C23" s="79" t="s">
        <v>124</v>
      </c>
      <c r="D23" s="79" t="s">
        <v>228</v>
      </c>
    </row>
    <row r="24" spans="2:4" ht="26.25" x14ac:dyDescent="0.25">
      <c r="B24" s="135" t="s">
        <v>426</v>
      </c>
      <c r="C24" s="109">
        <v>4</v>
      </c>
      <c r="D24" s="109"/>
    </row>
    <row r="25" spans="2:4" x14ac:dyDescent="0.25">
      <c r="B25" s="135" t="s">
        <v>425</v>
      </c>
      <c r="C25" s="109">
        <v>213</v>
      </c>
      <c r="D25" s="109"/>
    </row>
    <row r="26" spans="2:4" x14ac:dyDescent="0.25">
      <c r="B26" s="111" t="s">
        <v>424</v>
      </c>
      <c r="C26" s="109">
        <v>110</v>
      </c>
      <c r="D26" s="109"/>
    </row>
  </sheetData>
  <mergeCells count="2">
    <mergeCell ref="B3:B4"/>
    <mergeCell ref="C3:D3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D13"/>
  <sheetViews>
    <sheetView zoomScale="70" zoomScaleNormal="70" workbookViewId="0">
      <selection activeCell="B18" sqref="B18:D21"/>
    </sheetView>
  </sheetViews>
  <sheetFormatPr defaultRowHeight="15" x14ac:dyDescent="0.25"/>
  <cols>
    <col min="2" max="2" width="40.85546875" customWidth="1"/>
    <col min="8" max="8" width="8.85546875" customWidth="1"/>
    <col min="12" max="12" width="21.5703125" customWidth="1"/>
  </cols>
  <sheetData>
    <row r="3" spans="2:4" x14ac:dyDescent="0.25">
      <c r="B3" s="89" t="s">
        <v>450</v>
      </c>
      <c r="C3" s="79" t="s">
        <v>124</v>
      </c>
      <c r="D3" s="79" t="s">
        <v>449</v>
      </c>
    </row>
    <row r="4" spans="2:4" ht="27.75" customHeight="1" x14ac:dyDescent="0.25">
      <c r="B4" s="138" t="s">
        <v>448</v>
      </c>
      <c r="C4" s="109">
        <v>1229</v>
      </c>
      <c r="D4" s="109"/>
    </row>
    <row r="5" spans="2:4" ht="64.5" customHeight="1" x14ac:dyDescent="0.25">
      <c r="B5" s="138" t="s">
        <v>447</v>
      </c>
      <c r="C5" s="109">
        <v>3178</v>
      </c>
      <c r="D5" s="109"/>
    </row>
    <row r="6" spans="2:4" ht="40.9" customHeight="1" x14ac:dyDescent="0.25">
      <c r="B6" s="138" t="s">
        <v>446</v>
      </c>
      <c r="C6" s="109">
        <v>81236</v>
      </c>
      <c r="D6" s="109"/>
    </row>
    <row r="7" spans="2:4" ht="40.9" customHeight="1" x14ac:dyDescent="0.25">
      <c r="B7" s="138" t="s">
        <v>445</v>
      </c>
      <c r="C7" s="109">
        <v>3446</v>
      </c>
      <c r="D7" s="109"/>
    </row>
    <row r="8" spans="2:4" ht="22.15" customHeight="1" x14ac:dyDescent="0.25">
      <c r="B8" s="138" t="s">
        <v>444</v>
      </c>
      <c r="C8" s="109">
        <v>332</v>
      </c>
      <c r="D8" s="109"/>
    </row>
    <row r="9" spans="2:4" ht="24" customHeight="1" x14ac:dyDescent="0.25">
      <c r="B9" s="138" t="s">
        <v>443</v>
      </c>
      <c r="C9" s="109">
        <v>1218</v>
      </c>
      <c r="D9" s="109"/>
    </row>
    <row r="10" spans="2:4" ht="25.5" x14ac:dyDescent="0.25">
      <c r="B10" s="138" t="s">
        <v>442</v>
      </c>
      <c r="C10" s="109">
        <v>9567</v>
      </c>
      <c r="D10" s="109"/>
    </row>
    <row r="11" spans="2:4" ht="25.5" x14ac:dyDescent="0.25">
      <c r="B11" s="138" t="s">
        <v>441</v>
      </c>
      <c r="C11" s="109">
        <v>578</v>
      </c>
      <c r="D11" s="109"/>
    </row>
    <row r="12" spans="2:4" ht="25.5" x14ac:dyDescent="0.25">
      <c r="B12" s="138" t="s">
        <v>440</v>
      </c>
      <c r="C12" s="109">
        <v>1514</v>
      </c>
      <c r="D12" s="109"/>
    </row>
    <row r="13" spans="2:4" ht="21" customHeight="1" x14ac:dyDescent="0.25">
      <c r="B13" s="138" t="s">
        <v>439</v>
      </c>
      <c r="C13" s="109">
        <v>2498</v>
      </c>
      <c r="D13" s="109"/>
    </row>
  </sheetData>
  <pageMargins left="0.7" right="0.7" top="0.75" bottom="0.75" header="0.3" footer="0.3"/>
  <pageSetup paperSize="9" orientation="portrait" horizontalDpi="1200" verticalDpi="120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30"/>
  <sheetViews>
    <sheetView workbookViewId="0">
      <selection activeCell="H27" sqref="H27"/>
    </sheetView>
  </sheetViews>
  <sheetFormatPr defaultRowHeight="15" x14ac:dyDescent="0.25"/>
  <cols>
    <col min="2" max="2" width="22.7109375" customWidth="1"/>
    <col min="14" max="14" width="13" customWidth="1"/>
    <col min="15" max="16" width="11.42578125" customWidth="1"/>
  </cols>
  <sheetData>
    <row r="2" spans="2:5" ht="25.5" x14ac:dyDescent="0.25">
      <c r="B2" s="89" t="s">
        <v>464</v>
      </c>
      <c r="C2" s="80" t="s">
        <v>124</v>
      </c>
      <c r="D2" s="80" t="s">
        <v>228</v>
      </c>
    </row>
    <row r="3" spans="2:5" x14ac:dyDescent="0.25">
      <c r="B3" s="111"/>
      <c r="C3" s="109">
        <v>2357</v>
      </c>
      <c r="D3" s="109"/>
    </row>
    <row r="12" spans="2:5" ht="26.25" x14ac:dyDescent="0.25">
      <c r="B12" s="140" t="s">
        <v>463</v>
      </c>
      <c r="C12" s="80" t="s">
        <v>124</v>
      </c>
      <c r="D12" s="80" t="s">
        <v>228</v>
      </c>
      <c r="E12" s="14"/>
    </row>
    <row r="13" spans="2:5" x14ac:dyDescent="0.25">
      <c r="B13" s="135" t="s">
        <v>462</v>
      </c>
      <c r="C13" s="109">
        <v>13</v>
      </c>
      <c r="D13" s="109"/>
      <c r="E13" s="14"/>
    </row>
    <row r="14" spans="2:5" x14ac:dyDescent="0.25">
      <c r="B14" s="111" t="s">
        <v>461</v>
      </c>
      <c r="C14" s="109">
        <v>495</v>
      </c>
      <c r="D14" s="109"/>
      <c r="E14" s="14"/>
    </row>
    <row r="15" spans="2:5" x14ac:dyDescent="0.25">
      <c r="B15" s="111" t="s">
        <v>460</v>
      </c>
      <c r="C15" s="109">
        <v>203</v>
      </c>
      <c r="D15" s="109"/>
      <c r="E15" s="14"/>
    </row>
    <row r="16" spans="2:5" x14ac:dyDescent="0.25">
      <c r="B16" s="111" t="s">
        <v>459</v>
      </c>
      <c r="C16" s="109">
        <v>12099</v>
      </c>
      <c r="D16" s="109"/>
      <c r="E16" s="14"/>
    </row>
    <row r="17" spans="2:5" x14ac:dyDescent="0.25">
      <c r="B17" s="14"/>
      <c r="C17" s="14"/>
      <c r="D17" s="14"/>
      <c r="E17" s="14"/>
    </row>
    <row r="18" spans="2:5" x14ac:dyDescent="0.25">
      <c r="B18" s="14"/>
      <c r="C18" s="14"/>
      <c r="D18" s="14"/>
      <c r="E18" s="14"/>
    </row>
    <row r="19" spans="2:5" ht="39" x14ac:dyDescent="0.25">
      <c r="B19" s="140" t="s">
        <v>458</v>
      </c>
      <c r="C19" s="89" t="s">
        <v>124</v>
      </c>
      <c r="D19" s="89" t="s">
        <v>228</v>
      </c>
      <c r="E19" s="14"/>
    </row>
    <row r="20" spans="2:5" x14ac:dyDescent="0.25">
      <c r="B20" s="264" t="s">
        <v>457</v>
      </c>
      <c r="C20" s="265"/>
      <c r="D20" s="266"/>
      <c r="E20" s="14"/>
    </row>
    <row r="21" spans="2:5" x14ac:dyDescent="0.25">
      <c r="B21" s="111" t="s">
        <v>455</v>
      </c>
      <c r="C21" s="109">
        <v>749</v>
      </c>
      <c r="D21" s="109"/>
      <c r="E21" s="14"/>
    </row>
    <row r="22" spans="2:5" x14ac:dyDescent="0.25">
      <c r="B22" s="111" t="s">
        <v>454</v>
      </c>
      <c r="C22" s="109">
        <v>2247</v>
      </c>
      <c r="D22" s="109"/>
      <c r="E22" s="14"/>
    </row>
    <row r="23" spans="2:5" x14ac:dyDescent="0.25">
      <c r="B23" s="264" t="s">
        <v>456</v>
      </c>
      <c r="C23" s="265"/>
      <c r="D23" s="266"/>
      <c r="E23" s="14"/>
    </row>
    <row r="24" spans="2:5" x14ac:dyDescent="0.25">
      <c r="B24" s="111" t="s">
        <v>455</v>
      </c>
      <c r="C24" s="109">
        <v>259</v>
      </c>
      <c r="D24" s="109"/>
      <c r="E24" s="14"/>
    </row>
    <row r="25" spans="2:5" x14ac:dyDescent="0.25">
      <c r="B25" s="111" t="s">
        <v>454</v>
      </c>
      <c r="C25" s="109">
        <v>753</v>
      </c>
      <c r="D25" s="109"/>
      <c r="E25" s="14"/>
    </row>
    <row r="26" spans="2:5" x14ac:dyDescent="0.25">
      <c r="B26" s="14"/>
      <c r="C26" s="14"/>
      <c r="D26" s="14"/>
      <c r="E26" s="14"/>
    </row>
    <row r="27" spans="2:5" x14ac:dyDescent="0.25">
      <c r="B27" s="268"/>
      <c r="C27" s="269"/>
      <c r="D27" s="79" t="s">
        <v>124</v>
      </c>
      <c r="E27" s="79" t="s">
        <v>228</v>
      </c>
    </row>
    <row r="28" spans="2:5" s="99" customFormat="1" ht="55.9" customHeight="1" x14ac:dyDescent="0.25">
      <c r="B28" s="267" t="s">
        <v>453</v>
      </c>
      <c r="C28" s="267"/>
      <c r="D28" s="100">
        <v>130</v>
      </c>
      <c r="E28" s="100"/>
    </row>
    <row r="29" spans="2:5" ht="30.6" customHeight="1" x14ac:dyDescent="0.25">
      <c r="B29" s="267" t="s">
        <v>452</v>
      </c>
      <c r="C29" s="267"/>
      <c r="D29" s="98">
        <v>131</v>
      </c>
      <c r="E29" s="98"/>
    </row>
    <row r="30" spans="2:5" ht="28.9" customHeight="1" x14ac:dyDescent="0.25">
      <c r="B30" s="267" t="s">
        <v>451</v>
      </c>
      <c r="C30" s="267"/>
      <c r="D30" s="98">
        <v>119</v>
      </c>
      <c r="E30" s="98"/>
    </row>
  </sheetData>
  <mergeCells count="6">
    <mergeCell ref="B23:D23"/>
    <mergeCell ref="B20:D20"/>
    <mergeCell ref="B28:C28"/>
    <mergeCell ref="B29:C29"/>
    <mergeCell ref="B30:C30"/>
    <mergeCell ref="B27:C27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O42"/>
  <sheetViews>
    <sheetView zoomScale="70" zoomScaleNormal="70" workbookViewId="0">
      <selection activeCell="Q24" sqref="Q24"/>
    </sheetView>
  </sheetViews>
  <sheetFormatPr defaultRowHeight="15" x14ac:dyDescent="0.25"/>
  <cols>
    <col min="2" max="2" width="20" customWidth="1"/>
    <col min="7" max="7" width="20.140625" customWidth="1"/>
    <col min="14" max="14" width="17.85546875" customWidth="1"/>
    <col min="19" max="19" width="20.5703125" customWidth="1"/>
    <col min="21" max="21" width="18.42578125" customWidth="1"/>
    <col min="26" max="26" width="25.140625" customWidth="1"/>
    <col min="28" max="28" width="18.42578125" customWidth="1"/>
  </cols>
  <sheetData>
    <row r="4" spans="2:5" ht="25.5" x14ac:dyDescent="0.25">
      <c r="B4" s="112" t="s">
        <v>475</v>
      </c>
      <c r="C4" s="141" t="s">
        <v>124</v>
      </c>
      <c r="D4" s="141" t="s">
        <v>228</v>
      </c>
      <c r="E4" s="14"/>
    </row>
    <row r="5" spans="2:5" x14ac:dyDescent="0.25">
      <c r="B5" s="145" t="s">
        <v>474</v>
      </c>
      <c r="C5" s="144">
        <v>46884</v>
      </c>
      <c r="D5" s="109"/>
      <c r="E5" s="14"/>
    </row>
    <row r="6" spans="2:5" x14ac:dyDescent="0.25">
      <c r="B6" s="14"/>
      <c r="C6" s="14"/>
      <c r="D6" s="14"/>
      <c r="E6" s="14"/>
    </row>
    <row r="7" spans="2:5" x14ac:dyDescent="0.25">
      <c r="B7" s="14"/>
      <c r="C7" s="14"/>
      <c r="D7" s="14"/>
      <c r="E7" s="14"/>
    </row>
    <row r="8" spans="2:5" x14ac:dyDescent="0.25">
      <c r="B8" s="14"/>
      <c r="C8" s="14"/>
      <c r="D8" s="14"/>
      <c r="E8" s="14"/>
    </row>
    <row r="9" spans="2:5" x14ac:dyDescent="0.25">
      <c r="B9" s="14"/>
      <c r="C9" s="14"/>
      <c r="D9" s="14"/>
      <c r="E9" s="14"/>
    </row>
    <row r="10" spans="2:5" x14ac:dyDescent="0.25">
      <c r="B10" s="14"/>
      <c r="C10" s="14"/>
      <c r="D10" s="14"/>
      <c r="E10" s="14"/>
    </row>
    <row r="11" spans="2:5" x14ac:dyDescent="0.25">
      <c r="B11" s="14"/>
      <c r="C11" s="14"/>
      <c r="D11" s="14"/>
      <c r="E11" s="14"/>
    </row>
    <row r="12" spans="2:5" x14ac:dyDescent="0.25">
      <c r="B12" s="14"/>
      <c r="C12" s="14"/>
      <c r="D12" s="14"/>
      <c r="E12" s="14"/>
    </row>
    <row r="13" spans="2:5" x14ac:dyDescent="0.25">
      <c r="B13" s="14"/>
      <c r="C13" s="14"/>
      <c r="D13" s="14"/>
      <c r="E13" s="14"/>
    </row>
    <row r="14" spans="2:5" x14ac:dyDescent="0.25">
      <c r="B14" s="14"/>
      <c r="C14" s="14"/>
      <c r="D14" s="14"/>
      <c r="E14" s="14"/>
    </row>
    <row r="15" spans="2:5" x14ac:dyDescent="0.25">
      <c r="B15" s="14"/>
      <c r="C15" s="14"/>
      <c r="D15" s="14"/>
      <c r="E15" s="14"/>
    </row>
    <row r="16" spans="2:5" ht="52.9" customHeight="1" x14ac:dyDescent="0.25">
      <c r="B16" s="270" t="s">
        <v>473</v>
      </c>
      <c r="C16" s="270"/>
      <c r="D16" s="79" t="s">
        <v>124</v>
      </c>
      <c r="E16" s="79" t="s">
        <v>228</v>
      </c>
    </row>
    <row r="17" spans="2:15" ht="73.900000000000006" customHeight="1" x14ac:dyDescent="0.25">
      <c r="B17" s="267" t="s">
        <v>472</v>
      </c>
      <c r="C17" s="267"/>
      <c r="D17" s="109">
        <v>1342734</v>
      </c>
      <c r="E17" s="109"/>
    </row>
    <row r="18" spans="2:15" ht="73.900000000000006" customHeight="1" x14ac:dyDescent="0.25">
      <c r="B18" s="267" t="s">
        <v>471</v>
      </c>
      <c r="C18" s="267"/>
      <c r="D18" s="109">
        <v>409205</v>
      </c>
      <c r="E18" s="109"/>
    </row>
    <row r="19" spans="2:15" ht="73.900000000000006" customHeight="1" x14ac:dyDescent="0.25">
      <c r="B19" s="267" t="s">
        <v>470</v>
      </c>
      <c r="C19" s="267"/>
      <c r="D19" s="109">
        <v>1079868</v>
      </c>
      <c r="E19" s="109"/>
    </row>
    <row r="20" spans="2:15" x14ac:dyDescent="0.25">
      <c r="B20" s="14"/>
      <c r="C20" s="14"/>
      <c r="D20" s="14"/>
      <c r="E20" s="14"/>
    </row>
    <row r="21" spans="2:15" x14ac:dyDescent="0.25">
      <c r="B21" s="14"/>
      <c r="C21" s="14"/>
      <c r="D21" s="14"/>
      <c r="E21" s="14"/>
    </row>
    <row r="22" spans="2:15" ht="26.45" customHeight="1" x14ac:dyDescent="0.25">
      <c r="B22" s="112" t="s">
        <v>391</v>
      </c>
      <c r="C22" s="141" t="s">
        <v>124</v>
      </c>
      <c r="D22" s="141" t="s">
        <v>228</v>
      </c>
      <c r="E22" s="14"/>
    </row>
    <row r="23" spans="2:15" ht="27" customHeight="1" x14ac:dyDescent="0.25">
      <c r="B23" s="111" t="s">
        <v>469</v>
      </c>
      <c r="C23" s="109">
        <v>536</v>
      </c>
      <c r="D23" s="109"/>
      <c r="E23" s="14"/>
    </row>
    <row r="24" spans="2:15" ht="60" customHeight="1" x14ac:dyDescent="0.25">
      <c r="B24" s="14"/>
      <c r="C24" s="14"/>
      <c r="D24" s="14"/>
      <c r="E24" s="14"/>
    </row>
    <row r="25" spans="2:15" x14ac:dyDescent="0.25">
      <c r="B25" s="14"/>
      <c r="C25" s="14"/>
      <c r="D25" s="14"/>
      <c r="E25" s="14"/>
    </row>
    <row r="26" spans="2:15" x14ac:dyDescent="0.25">
      <c r="B26" s="14"/>
      <c r="C26" s="14"/>
      <c r="D26" s="14"/>
      <c r="E26" s="14"/>
    </row>
    <row r="27" spans="2:15" x14ac:dyDescent="0.25">
      <c r="B27" s="14"/>
      <c r="C27" s="14"/>
      <c r="D27" s="14"/>
      <c r="E27" s="14"/>
    </row>
    <row r="28" spans="2:15" ht="39" x14ac:dyDescent="0.25">
      <c r="B28" s="140" t="s">
        <v>468</v>
      </c>
      <c r="C28" s="79" t="s">
        <v>124</v>
      </c>
      <c r="D28" s="79" t="s">
        <v>228</v>
      </c>
      <c r="E28" s="14"/>
      <c r="N28" s="142"/>
      <c r="O28" s="142"/>
    </row>
    <row r="29" spans="2:15" x14ac:dyDescent="0.25">
      <c r="B29" s="111" t="s">
        <v>467</v>
      </c>
      <c r="C29" s="109">
        <v>36688</v>
      </c>
      <c r="D29" s="109"/>
      <c r="E29" s="14"/>
    </row>
    <row r="30" spans="2:15" x14ac:dyDescent="0.25">
      <c r="B30" s="111" t="s">
        <v>466</v>
      </c>
      <c r="C30" s="109">
        <v>352028</v>
      </c>
      <c r="D30" s="109"/>
      <c r="E30" s="14"/>
    </row>
    <row r="31" spans="2:15" x14ac:dyDescent="0.25">
      <c r="B31" s="14"/>
      <c r="C31" s="14"/>
      <c r="D31" s="14"/>
      <c r="E31" s="14"/>
    </row>
    <row r="32" spans="2:15" x14ac:dyDescent="0.25">
      <c r="B32" s="14"/>
      <c r="C32" s="14"/>
      <c r="D32" s="14"/>
      <c r="E32" s="14"/>
    </row>
    <row r="33" spans="2:5" x14ac:dyDescent="0.25">
      <c r="B33" s="14"/>
      <c r="C33" s="14"/>
      <c r="D33" s="14"/>
      <c r="E33" s="14"/>
    </row>
    <row r="34" spans="2:5" x14ac:dyDescent="0.25">
      <c r="B34" s="14"/>
      <c r="C34" s="14"/>
      <c r="D34" s="14"/>
      <c r="E34" s="14"/>
    </row>
    <row r="35" spans="2:5" x14ac:dyDescent="0.25">
      <c r="B35" s="14"/>
      <c r="C35" s="14"/>
      <c r="D35" s="14"/>
      <c r="E35" s="14"/>
    </row>
    <row r="36" spans="2:5" x14ac:dyDescent="0.25">
      <c r="B36" s="14"/>
      <c r="C36" s="14"/>
      <c r="D36" s="14"/>
      <c r="E36" s="14"/>
    </row>
    <row r="37" spans="2:5" x14ac:dyDescent="0.25">
      <c r="B37" s="14"/>
      <c r="C37" s="14"/>
      <c r="D37" s="14"/>
      <c r="E37" s="14"/>
    </row>
    <row r="38" spans="2:5" x14ac:dyDescent="0.25">
      <c r="B38" s="14"/>
      <c r="C38" s="14"/>
      <c r="D38" s="14"/>
      <c r="E38" s="14"/>
    </row>
    <row r="39" spans="2:5" x14ac:dyDescent="0.25">
      <c r="B39" s="14"/>
      <c r="C39" s="14"/>
      <c r="D39" s="14"/>
      <c r="E39" s="14"/>
    </row>
    <row r="40" spans="2:5" x14ac:dyDescent="0.25">
      <c r="B40" s="14"/>
      <c r="C40" s="14"/>
      <c r="D40" s="14"/>
      <c r="E40" s="14"/>
    </row>
    <row r="41" spans="2:5" ht="38.25" x14ac:dyDescent="0.25">
      <c r="B41" s="112" t="s">
        <v>465</v>
      </c>
      <c r="C41" s="141" t="s">
        <v>124</v>
      </c>
      <c r="D41" s="141" t="s">
        <v>228</v>
      </c>
      <c r="E41" s="14"/>
    </row>
    <row r="42" spans="2:5" x14ac:dyDescent="0.25">
      <c r="B42" s="111"/>
      <c r="C42" s="109">
        <v>4328</v>
      </c>
      <c r="D42" s="109"/>
      <c r="E42" s="14"/>
    </row>
  </sheetData>
  <mergeCells count="4">
    <mergeCell ref="B16:C16"/>
    <mergeCell ref="B17:C17"/>
    <mergeCell ref="B18:C18"/>
    <mergeCell ref="B19:C19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D7"/>
  <sheetViews>
    <sheetView zoomScale="80" zoomScaleNormal="80" workbookViewId="0">
      <selection activeCell="R22" sqref="R22"/>
    </sheetView>
  </sheetViews>
  <sheetFormatPr defaultRowHeight="15" x14ac:dyDescent="0.25"/>
  <cols>
    <col min="2" max="2" width="35.42578125" customWidth="1"/>
    <col min="13" max="13" width="8.42578125" customWidth="1"/>
  </cols>
  <sheetData>
    <row r="3" spans="2:4" ht="26.25" x14ac:dyDescent="0.25">
      <c r="B3" s="143" t="s">
        <v>480</v>
      </c>
      <c r="C3" s="137" t="s">
        <v>124</v>
      </c>
      <c r="D3" s="137" t="s">
        <v>228</v>
      </c>
    </row>
    <row r="4" spans="2:4" ht="26.25" x14ac:dyDescent="0.25">
      <c r="B4" s="135" t="s">
        <v>479</v>
      </c>
      <c r="C4" s="109"/>
      <c r="D4" s="109"/>
    </row>
    <row r="5" spans="2:4" ht="51.75" x14ac:dyDescent="0.25">
      <c r="B5" s="135" t="s">
        <v>478</v>
      </c>
      <c r="C5" s="109"/>
      <c r="D5" s="109"/>
    </row>
    <row r="6" spans="2:4" ht="39" x14ac:dyDescent="0.25">
      <c r="B6" s="135" t="s">
        <v>477</v>
      </c>
      <c r="C6" s="109"/>
      <c r="D6" s="109"/>
    </row>
    <row r="7" spans="2:4" ht="39" x14ac:dyDescent="0.25">
      <c r="B7" s="135" t="s">
        <v>476</v>
      </c>
      <c r="C7" s="109"/>
      <c r="D7" s="109"/>
    </row>
  </sheetData>
  <pageMargins left="0.7" right="0.7" top="0.75" bottom="0.75" header="0.3" footer="0.3"/>
  <pageSetup paperSize="9" orientation="portrait" horizontalDpi="1200" verticalDpi="120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Y32"/>
  <sheetViews>
    <sheetView zoomScale="60" zoomScaleNormal="60" workbookViewId="0">
      <selection sqref="A1:Y1048576"/>
    </sheetView>
  </sheetViews>
  <sheetFormatPr defaultRowHeight="15" x14ac:dyDescent="0.25"/>
  <cols>
    <col min="1" max="1" width="8.85546875" style="14"/>
    <col min="2" max="2" width="33.85546875" style="14" customWidth="1"/>
    <col min="3" max="4" width="8.85546875" style="14"/>
    <col min="5" max="5" width="15.28515625" style="14" customWidth="1"/>
    <col min="6" max="6" width="30" style="14" customWidth="1"/>
    <col min="7" max="7" width="8.85546875" style="14"/>
    <col min="8" max="8" width="35.7109375" style="14" customWidth="1"/>
    <col min="9" max="9" width="8.85546875" style="14"/>
    <col min="10" max="10" width="8.85546875" style="14" customWidth="1"/>
    <col min="11" max="11" width="8.85546875" style="14"/>
    <col min="12" max="12" width="35.42578125" style="14" customWidth="1"/>
    <col min="13" max="13" width="8.85546875" style="14"/>
    <col min="14" max="14" width="30" style="14" customWidth="1"/>
    <col min="15" max="25" width="9.140625" style="14"/>
  </cols>
  <sheetData>
    <row r="2" spans="2:10" ht="38.25" x14ac:dyDescent="0.25">
      <c r="B2" s="180" t="s">
        <v>619</v>
      </c>
      <c r="C2" s="180" t="s">
        <v>124</v>
      </c>
      <c r="D2" s="180" t="s">
        <v>228</v>
      </c>
      <c r="H2" s="180" t="s">
        <v>620</v>
      </c>
      <c r="I2" s="180" t="s">
        <v>124</v>
      </c>
      <c r="J2" s="180" t="s">
        <v>228</v>
      </c>
    </row>
    <row r="3" spans="2:10" x14ac:dyDescent="0.25">
      <c r="B3" s="111"/>
      <c r="C3" s="109">
        <v>102915</v>
      </c>
      <c r="D3" s="109"/>
      <c r="H3" s="111" t="s">
        <v>124</v>
      </c>
      <c r="I3" s="109">
        <v>678047</v>
      </c>
      <c r="J3" s="109"/>
    </row>
    <row r="16" spans="2:10" ht="38.25" x14ac:dyDescent="0.25">
      <c r="B16" s="112" t="s">
        <v>621</v>
      </c>
      <c r="C16" s="112" t="s">
        <v>124</v>
      </c>
      <c r="D16" s="112" t="s">
        <v>228</v>
      </c>
      <c r="H16" s="112" t="s">
        <v>622</v>
      </c>
      <c r="I16" s="112" t="s">
        <v>124</v>
      </c>
      <c r="J16" s="112" t="s">
        <v>228</v>
      </c>
    </row>
    <row r="17" spans="2:10" x14ac:dyDescent="0.25">
      <c r="B17" s="111"/>
      <c r="C17" s="109">
        <v>66122</v>
      </c>
      <c r="D17" s="109"/>
      <c r="H17" s="111"/>
      <c r="I17" s="109">
        <v>177</v>
      </c>
      <c r="J17" s="109"/>
    </row>
    <row r="29" spans="2:10" x14ac:dyDescent="0.25">
      <c r="B29" s="278" t="s">
        <v>623</v>
      </c>
      <c r="C29" s="278" t="s">
        <v>624</v>
      </c>
      <c r="D29" s="278" t="s">
        <v>625</v>
      </c>
      <c r="H29" s="278" t="s">
        <v>626</v>
      </c>
      <c r="I29" s="278" t="s">
        <v>124</v>
      </c>
      <c r="J29" s="278" t="s">
        <v>228</v>
      </c>
    </row>
    <row r="30" spans="2:10" x14ac:dyDescent="0.25">
      <c r="B30" s="279" t="s">
        <v>627</v>
      </c>
      <c r="C30" s="109">
        <v>377</v>
      </c>
      <c r="D30" s="109"/>
      <c r="H30" s="280" t="s">
        <v>628</v>
      </c>
      <c r="I30" s="109">
        <v>114</v>
      </c>
      <c r="J30" s="109"/>
    </row>
    <row r="31" spans="2:10" x14ac:dyDescent="0.25">
      <c r="B31" s="279" t="s">
        <v>629</v>
      </c>
      <c r="C31" s="109">
        <v>111</v>
      </c>
      <c r="D31" s="109"/>
    </row>
    <row r="32" spans="2:10" x14ac:dyDescent="0.25">
      <c r="B32" s="278" t="s">
        <v>2</v>
      </c>
      <c r="C32" s="278">
        <f>SUM(C30:C31)</f>
        <v>488</v>
      </c>
      <c r="D32" s="278">
        <f>SUM(D30:D31)</f>
        <v>0</v>
      </c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S77"/>
  <sheetViews>
    <sheetView zoomScale="40" zoomScaleNormal="40" workbookViewId="0">
      <selection activeCell="L21" sqref="L21"/>
    </sheetView>
  </sheetViews>
  <sheetFormatPr defaultRowHeight="15" x14ac:dyDescent="0.25"/>
  <cols>
    <col min="3" max="3" width="23.140625" bestFit="1" customWidth="1"/>
    <col min="6" max="6" width="15.28515625" bestFit="1" customWidth="1"/>
    <col min="7" max="7" width="9.140625" customWidth="1"/>
    <col min="9" max="9" width="21.5703125" customWidth="1"/>
    <col min="12" max="12" width="22" bestFit="1" customWidth="1"/>
    <col min="24" max="24" width="18.5703125" customWidth="1"/>
    <col min="25" max="28" width="14.42578125" customWidth="1"/>
    <col min="32" max="32" width="72.7109375" customWidth="1"/>
  </cols>
  <sheetData>
    <row r="1" spans="1:45" x14ac:dyDescent="0.25">
      <c r="A1" s="14"/>
      <c r="B1" s="14"/>
      <c r="C1" s="14"/>
      <c r="D1" s="14"/>
      <c r="E1" s="14"/>
      <c r="F1" s="14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  <c r="T1" s="14"/>
      <c r="U1" s="14"/>
      <c r="V1" s="14"/>
      <c r="W1" s="14"/>
      <c r="X1" s="14"/>
      <c r="Y1" s="14"/>
      <c r="Z1" s="14"/>
      <c r="AA1" s="14"/>
      <c r="AB1" s="14"/>
      <c r="AC1" s="14"/>
      <c r="AD1" s="14"/>
      <c r="AE1" s="14"/>
      <c r="AF1" s="14"/>
      <c r="AG1" s="14"/>
      <c r="AH1" s="14"/>
      <c r="AI1" s="14"/>
      <c r="AJ1" s="14"/>
      <c r="AK1" s="14"/>
      <c r="AL1" s="14"/>
      <c r="AM1" s="14"/>
      <c r="AN1" s="14"/>
      <c r="AO1" s="14"/>
      <c r="AP1" s="14"/>
      <c r="AQ1" s="14"/>
      <c r="AR1" s="14"/>
      <c r="AS1" s="14"/>
    </row>
    <row r="2" spans="1:45" ht="90" x14ac:dyDescent="0.25">
      <c r="A2" s="14"/>
      <c r="B2" s="14"/>
      <c r="C2" s="281" t="s">
        <v>630</v>
      </c>
      <c r="D2" s="281"/>
      <c r="E2" s="281"/>
      <c r="F2" s="281"/>
      <c r="G2" s="281"/>
      <c r="H2" s="281"/>
      <c r="I2" s="281" t="s">
        <v>631</v>
      </c>
      <c r="J2" s="14"/>
      <c r="K2" s="14"/>
      <c r="L2" s="14"/>
      <c r="M2" s="14"/>
      <c r="N2" s="14"/>
      <c r="O2" s="14"/>
      <c r="P2" s="14"/>
      <c r="Q2" s="14"/>
      <c r="R2" s="14"/>
      <c r="S2" s="14"/>
      <c r="T2" s="14"/>
      <c r="U2" s="14"/>
      <c r="V2" s="14"/>
      <c r="W2" s="14"/>
      <c r="X2" s="14"/>
      <c r="Y2" s="14"/>
      <c r="Z2" s="14"/>
      <c r="AA2" s="14"/>
      <c r="AB2" s="14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14"/>
      <c r="AR2" s="14"/>
      <c r="AS2" s="14"/>
    </row>
    <row r="3" spans="1:45" x14ac:dyDescent="0.25">
      <c r="A3" s="14"/>
      <c r="B3" s="14"/>
      <c r="C3" s="281"/>
      <c r="D3" s="281"/>
      <c r="E3" s="281"/>
      <c r="F3" s="281"/>
      <c r="G3" s="281"/>
      <c r="H3" s="281"/>
      <c r="I3" s="281"/>
      <c r="J3" s="14"/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  <c r="AJ3" s="14"/>
      <c r="AK3" s="14"/>
      <c r="AL3" s="14"/>
      <c r="AM3" s="14"/>
      <c r="AN3" s="14"/>
      <c r="AO3" s="14"/>
      <c r="AP3" s="14"/>
      <c r="AQ3" s="14"/>
      <c r="AR3" s="14"/>
      <c r="AS3" s="14"/>
    </row>
    <row r="4" spans="1:45" x14ac:dyDescent="0.25">
      <c r="A4" s="14"/>
      <c r="B4" s="14"/>
      <c r="C4" s="14"/>
      <c r="D4" s="14"/>
      <c r="E4" s="14"/>
      <c r="F4" s="14"/>
      <c r="G4" s="14"/>
      <c r="H4" s="14"/>
      <c r="I4" s="14"/>
      <c r="J4" s="14"/>
      <c r="K4" s="14"/>
      <c r="L4" s="14"/>
      <c r="M4" s="14"/>
      <c r="N4" s="14"/>
      <c r="O4" s="14"/>
      <c r="P4" s="14"/>
      <c r="Q4" s="14"/>
      <c r="R4" s="14"/>
      <c r="S4" s="14"/>
      <c r="T4" s="14"/>
      <c r="U4" s="14"/>
      <c r="V4" s="14"/>
      <c r="W4" s="14"/>
      <c r="X4" s="14"/>
      <c r="Y4" s="14"/>
      <c r="Z4" s="14"/>
      <c r="AA4" s="14"/>
      <c r="AB4" s="14"/>
      <c r="AC4" s="14"/>
      <c r="AD4" s="14"/>
      <c r="AE4" s="14"/>
      <c r="AF4" s="14"/>
      <c r="AG4" s="14"/>
      <c r="AH4" s="14"/>
      <c r="AI4" s="14"/>
      <c r="AJ4" s="14"/>
      <c r="AK4" s="14"/>
      <c r="AL4" s="14"/>
      <c r="AM4" s="14"/>
      <c r="AN4" s="14"/>
      <c r="AO4" s="14"/>
      <c r="AP4" s="14"/>
      <c r="AQ4" s="14"/>
      <c r="AR4" s="14"/>
      <c r="AS4" s="14"/>
    </row>
    <row r="5" spans="1:45" ht="15.75" thickBot="1" x14ac:dyDescent="0.3">
      <c r="A5" s="14"/>
      <c r="B5" s="14"/>
      <c r="C5" s="14"/>
      <c r="D5" s="281"/>
      <c r="E5" s="281"/>
      <c r="F5" s="281"/>
      <c r="G5" s="14"/>
      <c r="H5" s="14"/>
      <c r="I5" s="14"/>
      <c r="J5" s="14"/>
      <c r="K5" s="14"/>
      <c r="L5" s="14"/>
      <c r="M5" s="14"/>
      <c r="N5" s="14"/>
      <c r="O5" s="14"/>
      <c r="P5" s="14"/>
      <c r="Q5" s="14"/>
      <c r="R5" s="14"/>
      <c r="S5" s="14"/>
      <c r="T5" s="14"/>
      <c r="U5" s="14"/>
      <c r="V5" s="14"/>
      <c r="W5" s="14"/>
      <c r="X5" s="14"/>
      <c r="Y5" s="14"/>
      <c r="Z5" s="14"/>
      <c r="AA5" s="14"/>
      <c r="AB5" s="14"/>
      <c r="AC5" s="14"/>
      <c r="AD5" s="14"/>
      <c r="AE5" s="14"/>
      <c r="AF5" s="14"/>
      <c r="AG5" s="14"/>
      <c r="AH5" s="14"/>
      <c r="AI5" s="14"/>
      <c r="AJ5" s="14"/>
      <c r="AK5" s="14"/>
      <c r="AL5" s="14"/>
      <c r="AM5" s="14"/>
      <c r="AN5" s="14"/>
      <c r="AO5" s="14"/>
      <c r="AP5" s="14"/>
      <c r="AQ5" s="14"/>
      <c r="AR5" s="14"/>
      <c r="AS5" s="14"/>
    </row>
    <row r="6" spans="1:45" ht="26.25" thickBot="1" x14ac:dyDescent="0.3">
      <c r="A6" s="14"/>
      <c r="B6" s="14"/>
      <c r="C6" s="112" t="s">
        <v>632</v>
      </c>
      <c r="D6" s="112" t="s">
        <v>124</v>
      </c>
      <c r="E6" s="112" t="s">
        <v>228</v>
      </c>
      <c r="H6" s="14"/>
      <c r="I6" s="112" t="s">
        <v>632</v>
      </c>
      <c r="J6" s="112" t="s">
        <v>124</v>
      </c>
      <c r="K6" s="112" t="s">
        <v>228</v>
      </c>
      <c r="N6" s="14"/>
      <c r="O6" s="14"/>
      <c r="P6" s="14"/>
      <c r="Q6" s="14"/>
      <c r="R6" s="14"/>
      <c r="S6" s="14"/>
      <c r="T6" s="14"/>
      <c r="U6" s="14"/>
      <c r="V6" s="14"/>
      <c r="W6" s="14"/>
      <c r="X6" s="282" t="s">
        <v>248</v>
      </c>
      <c r="Y6" s="196" t="s">
        <v>633</v>
      </c>
      <c r="Z6" s="198"/>
      <c r="AA6" s="196" t="s">
        <v>634</v>
      </c>
      <c r="AB6" s="198"/>
      <c r="AC6" s="14"/>
      <c r="AD6" s="14"/>
      <c r="AE6" s="14"/>
      <c r="AF6" s="37" t="s">
        <v>635</v>
      </c>
      <c r="AG6" s="37">
        <v>2012</v>
      </c>
      <c r="AH6" s="37">
        <v>2013</v>
      </c>
      <c r="AI6" s="37">
        <v>2014</v>
      </c>
      <c r="AJ6" s="37">
        <v>2015</v>
      </c>
      <c r="AK6" s="37">
        <v>2016</v>
      </c>
      <c r="AL6" s="37">
        <v>2017</v>
      </c>
      <c r="AM6" s="37">
        <v>2018</v>
      </c>
      <c r="AN6" s="37">
        <v>2019</v>
      </c>
      <c r="AO6" s="37">
        <v>2020</v>
      </c>
      <c r="AP6" s="37">
        <v>2021</v>
      </c>
      <c r="AQ6" s="37">
        <v>2022</v>
      </c>
      <c r="AR6" s="37">
        <v>2023</v>
      </c>
      <c r="AS6" s="14"/>
    </row>
    <row r="7" spans="1:45" ht="26.25" thickBot="1" x14ac:dyDescent="0.3">
      <c r="A7" s="14"/>
      <c r="B7" s="14"/>
      <c r="C7" s="111"/>
      <c r="D7" s="109">
        <v>55185</v>
      </c>
      <c r="E7" s="109">
        <v>20000</v>
      </c>
      <c r="H7" s="14"/>
      <c r="I7" s="111"/>
      <c r="J7" s="109">
        <v>1154</v>
      </c>
      <c r="K7" s="109">
        <v>500</v>
      </c>
      <c r="N7" s="14"/>
      <c r="O7" s="14"/>
      <c r="P7" s="14"/>
      <c r="Q7" s="14"/>
      <c r="R7" s="14"/>
      <c r="S7" s="14"/>
      <c r="T7" s="14"/>
      <c r="U7" s="14"/>
      <c r="V7" s="14"/>
      <c r="W7" s="14"/>
      <c r="X7" s="282"/>
      <c r="Y7" s="37" t="s">
        <v>636</v>
      </c>
      <c r="Z7" s="37" t="s">
        <v>637</v>
      </c>
      <c r="AA7" s="37" t="s">
        <v>636</v>
      </c>
      <c r="AB7" s="37" t="s">
        <v>637</v>
      </c>
      <c r="AC7" s="14"/>
      <c r="AD7" s="14"/>
      <c r="AE7" s="14"/>
      <c r="AF7" s="283" t="s">
        <v>638</v>
      </c>
      <c r="AG7" s="16">
        <v>189</v>
      </c>
      <c r="AH7" s="16">
        <v>171</v>
      </c>
      <c r="AI7" s="16">
        <v>86</v>
      </c>
      <c r="AJ7" s="16">
        <v>98</v>
      </c>
      <c r="AK7" s="16">
        <v>133</v>
      </c>
      <c r="AL7" s="16">
        <v>125</v>
      </c>
      <c r="AM7" s="16">
        <v>42</v>
      </c>
      <c r="AN7" s="16">
        <v>66</v>
      </c>
      <c r="AO7" s="16">
        <v>43</v>
      </c>
      <c r="AP7" s="16">
        <v>27</v>
      </c>
      <c r="AQ7" s="16">
        <v>22</v>
      </c>
      <c r="AR7" s="284"/>
      <c r="AS7" s="14"/>
    </row>
    <row r="8" spans="1:45" ht="26.25" thickBot="1" x14ac:dyDescent="0.3">
      <c r="A8" s="14"/>
      <c r="B8" s="14"/>
      <c r="C8" s="14"/>
      <c r="D8" s="14"/>
      <c r="E8" s="14"/>
      <c r="F8" s="14"/>
      <c r="G8" s="14"/>
      <c r="H8" s="14"/>
      <c r="I8" s="14"/>
      <c r="J8" s="14"/>
      <c r="K8" s="14"/>
      <c r="L8" s="14"/>
      <c r="N8" s="14"/>
      <c r="O8" s="14"/>
      <c r="P8" s="14"/>
      <c r="Q8" s="14"/>
      <c r="R8" s="14"/>
      <c r="S8" s="14"/>
      <c r="T8" s="14"/>
      <c r="U8" s="14"/>
      <c r="V8" s="14"/>
      <c r="W8" s="14"/>
      <c r="X8" s="283" t="s">
        <v>113</v>
      </c>
      <c r="Y8" s="16">
        <v>139</v>
      </c>
      <c r="Z8" s="16">
        <v>183</v>
      </c>
      <c r="AA8" s="16">
        <v>1</v>
      </c>
      <c r="AB8" s="16">
        <v>1</v>
      </c>
      <c r="AC8" s="14"/>
      <c r="AD8" s="14"/>
      <c r="AE8" s="14"/>
      <c r="AF8" s="283" t="s">
        <v>639</v>
      </c>
      <c r="AG8" s="16">
        <v>4923</v>
      </c>
      <c r="AH8" s="16">
        <v>5874</v>
      </c>
      <c r="AI8" s="16">
        <v>5633</v>
      </c>
      <c r="AJ8" s="16">
        <v>6153</v>
      </c>
      <c r="AK8" s="16">
        <v>5520</v>
      </c>
      <c r="AL8" s="16">
        <v>4767</v>
      </c>
      <c r="AM8" s="16">
        <v>4174</v>
      </c>
      <c r="AN8" s="16">
        <v>4412</v>
      </c>
      <c r="AO8" s="16">
        <v>4248</v>
      </c>
      <c r="AP8" s="16">
        <v>2701</v>
      </c>
      <c r="AQ8" s="16">
        <v>2957</v>
      </c>
      <c r="AR8" s="284"/>
      <c r="AS8" s="14"/>
    </row>
    <row r="9" spans="1:45" ht="15.75" thickBot="1" x14ac:dyDescent="0.3">
      <c r="A9" s="14"/>
      <c r="B9" s="14"/>
      <c r="C9" s="14"/>
      <c r="D9" s="14"/>
      <c r="E9" s="14"/>
      <c r="F9" s="14"/>
      <c r="G9" s="14"/>
      <c r="H9" s="14"/>
      <c r="I9" s="14"/>
      <c r="J9" s="14"/>
      <c r="K9" s="14"/>
      <c r="L9" s="14"/>
      <c r="M9" s="14"/>
      <c r="N9" s="14"/>
      <c r="O9" s="14"/>
      <c r="P9" s="14"/>
      <c r="Q9" s="14"/>
      <c r="R9" s="14"/>
      <c r="S9" s="14"/>
      <c r="T9" s="14"/>
      <c r="U9" s="14"/>
      <c r="V9" s="14"/>
      <c r="W9" s="14"/>
      <c r="X9" s="283" t="s">
        <v>115</v>
      </c>
      <c r="Y9" s="16">
        <v>305</v>
      </c>
      <c r="Z9" s="16">
        <v>274</v>
      </c>
      <c r="AA9" s="16">
        <v>1</v>
      </c>
      <c r="AB9" s="16">
        <v>1</v>
      </c>
      <c r="AC9" s="14"/>
      <c r="AD9" s="14"/>
      <c r="AE9" s="14"/>
      <c r="AF9" s="14"/>
      <c r="AG9" s="14"/>
      <c r="AH9" s="14"/>
      <c r="AI9" s="14"/>
      <c r="AJ9" s="14"/>
      <c r="AK9" s="14"/>
      <c r="AL9" s="14"/>
      <c r="AM9" s="14"/>
      <c r="AN9" s="14"/>
      <c r="AO9" s="14"/>
      <c r="AP9" s="14"/>
      <c r="AQ9" s="14"/>
      <c r="AR9" s="14"/>
      <c r="AS9" s="14"/>
    </row>
    <row r="10" spans="1:45" ht="15.75" thickBot="1" x14ac:dyDescent="0.3">
      <c r="A10" s="14"/>
      <c r="B10" s="14"/>
      <c r="C10" s="14"/>
      <c r="D10" s="14"/>
      <c r="E10" s="14"/>
      <c r="F10" s="14"/>
      <c r="G10" s="14"/>
      <c r="H10" s="14"/>
      <c r="I10" s="14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4"/>
      <c r="U10" s="14"/>
      <c r="V10" s="14"/>
      <c r="W10" s="14"/>
      <c r="X10" s="283" t="s">
        <v>116</v>
      </c>
      <c r="Y10" s="16">
        <v>325</v>
      </c>
      <c r="Z10" s="16">
        <v>298</v>
      </c>
      <c r="AA10" s="16">
        <v>1</v>
      </c>
      <c r="AB10" s="16">
        <v>1</v>
      </c>
      <c r="AC10" s="14"/>
      <c r="AD10" s="14"/>
      <c r="AE10" s="14"/>
      <c r="AF10" s="14"/>
      <c r="AG10" s="14"/>
      <c r="AH10" s="14"/>
      <c r="AI10" s="14"/>
      <c r="AJ10" s="14"/>
      <c r="AK10" s="14"/>
      <c r="AL10" s="14"/>
      <c r="AM10" s="14"/>
      <c r="AN10" s="14"/>
      <c r="AO10" s="14"/>
      <c r="AP10" s="14"/>
      <c r="AQ10" s="14"/>
      <c r="AR10" s="14"/>
      <c r="AS10" s="14"/>
    </row>
    <row r="11" spans="1:45" ht="15.75" thickBot="1" x14ac:dyDescent="0.3">
      <c r="A11" s="14"/>
      <c r="B11" s="14"/>
      <c r="C11" s="14"/>
      <c r="D11" s="14"/>
      <c r="E11" s="14"/>
      <c r="F11" s="14"/>
      <c r="G11" s="14"/>
      <c r="H11" s="14"/>
      <c r="I11" s="14"/>
      <c r="J11" s="14"/>
      <c r="K11" s="14"/>
      <c r="L11" s="14"/>
      <c r="M11" s="14"/>
      <c r="N11" s="14"/>
      <c r="O11" s="14"/>
      <c r="P11" s="14"/>
      <c r="Q11" s="14"/>
      <c r="R11" s="14"/>
      <c r="S11" s="14"/>
      <c r="T11" s="14"/>
      <c r="U11" s="14"/>
      <c r="V11" s="14"/>
      <c r="W11" s="14"/>
      <c r="X11" s="283" t="s">
        <v>117</v>
      </c>
      <c r="Y11" s="16">
        <v>556</v>
      </c>
      <c r="Z11" s="16">
        <v>368</v>
      </c>
      <c r="AA11" s="16">
        <v>1</v>
      </c>
      <c r="AB11" s="16">
        <v>1</v>
      </c>
      <c r="AC11" s="14"/>
      <c r="AD11" s="14"/>
      <c r="AE11" s="14"/>
      <c r="AF11" s="14"/>
      <c r="AG11" s="14"/>
      <c r="AH11" s="14"/>
      <c r="AI11" s="14"/>
      <c r="AJ11" s="14"/>
      <c r="AK11" s="14"/>
      <c r="AL11" s="14"/>
      <c r="AM11" s="14"/>
      <c r="AN11" s="14"/>
      <c r="AO11" s="14"/>
      <c r="AP11" s="14"/>
      <c r="AQ11" s="14"/>
      <c r="AR11" s="14"/>
      <c r="AS11" s="14"/>
    </row>
    <row r="12" spans="1:45" ht="15.75" thickBot="1" x14ac:dyDescent="0.3">
      <c r="A12" s="14"/>
      <c r="B12" s="14"/>
      <c r="C12" s="14"/>
      <c r="D12" s="14"/>
      <c r="E12" s="14"/>
      <c r="F12" s="14"/>
      <c r="G12" s="14"/>
      <c r="H12" s="14"/>
      <c r="I12" s="14"/>
      <c r="J12" s="14"/>
      <c r="K12" s="14"/>
      <c r="L12" s="14"/>
      <c r="M12" s="14"/>
      <c r="N12" s="14"/>
      <c r="O12" s="14"/>
      <c r="P12" s="14"/>
      <c r="Q12" s="14"/>
      <c r="R12" s="14"/>
      <c r="S12" s="14"/>
      <c r="T12" s="14"/>
      <c r="U12" s="14"/>
      <c r="V12" s="14"/>
      <c r="W12" s="14"/>
      <c r="X12" s="283" t="s">
        <v>118</v>
      </c>
      <c r="Y12" s="16">
        <v>240</v>
      </c>
      <c r="Z12" s="16">
        <v>207</v>
      </c>
      <c r="AA12" s="16">
        <v>1</v>
      </c>
      <c r="AB12" s="16">
        <v>1</v>
      </c>
      <c r="AC12" s="14"/>
      <c r="AD12" s="14"/>
      <c r="AE12" s="14"/>
      <c r="AF12" s="14"/>
      <c r="AG12" s="14"/>
      <c r="AH12" s="14"/>
      <c r="AI12" s="14"/>
      <c r="AJ12" s="14"/>
      <c r="AK12" s="14"/>
      <c r="AL12" s="14"/>
      <c r="AM12" s="14"/>
      <c r="AN12" s="14"/>
      <c r="AO12" s="14"/>
      <c r="AP12" s="14"/>
      <c r="AQ12" s="14"/>
      <c r="AR12" s="14"/>
      <c r="AS12" s="14"/>
    </row>
    <row r="13" spans="1:45" ht="15.75" thickBot="1" x14ac:dyDescent="0.3">
      <c r="A13" s="14"/>
      <c r="B13" s="14"/>
      <c r="C13" s="14"/>
      <c r="D13" s="14"/>
      <c r="E13" s="14"/>
      <c r="F13" s="14"/>
      <c r="G13" s="14"/>
      <c r="H13" s="14"/>
      <c r="I13" s="14"/>
      <c r="J13" s="14"/>
      <c r="K13" s="14"/>
      <c r="L13" s="14"/>
      <c r="M13" s="14"/>
      <c r="N13" s="14"/>
      <c r="O13" s="14"/>
      <c r="P13" s="14"/>
      <c r="Q13" s="14"/>
      <c r="R13" s="14"/>
      <c r="S13" s="14"/>
      <c r="T13" s="14"/>
      <c r="U13" s="14"/>
      <c r="V13" s="14"/>
      <c r="W13" s="14"/>
      <c r="X13" s="283" t="s">
        <v>119</v>
      </c>
      <c r="Y13" s="16">
        <v>69</v>
      </c>
      <c r="Z13" s="16">
        <v>51</v>
      </c>
      <c r="AA13" s="16">
        <v>1</v>
      </c>
      <c r="AB13" s="16">
        <v>1</v>
      </c>
      <c r="AC13" s="14"/>
      <c r="AD13" s="14"/>
      <c r="AE13" s="14"/>
      <c r="AF13" s="14"/>
      <c r="AG13" s="14"/>
      <c r="AH13" s="14"/>
      <c r="AI13" s="14"/>
      <c r="AJ13" s="14"/>
      <c r="AK13" s="14"/>
      <c r="AL13" s="14"/>
      <c r="AM13" s="14"/>
      <c r="AN13" s="14"/>
      <c r="AO13" s="14"/>
      <c r="AP13" s="14"/>
      <c r="AQ13" s="14"/>
      <c r="AR13" s="14"/>
      <c r="AS13" s="14"/>
    </row>
    <row r="14" spans="1:45" ht="15.75" thickBot="1" x14ac:dyDescent="0.3">
      <c r="A14" s="14"/>
      <c r="B14" s="14"/>
      <c r="C14" s="14"/>
      <c r="D14" s="14"/>
      <c r="E14" s="14"/>
      <c r="F14" s="14"/>
      <c r="G14" s="14"/>
      <c r="H14" s="14"/>
      <c r="L14" s="14"/>
      <c r="M14" s="14"/>
      <c r="N14" s="14"/>
      <c r="O14" s="14"/>
      <c r="P14" s="14"/>
      <c r="Q14" s="14"/>
      <c r="R14" s="14"/>
      <c r="S14" s="14"/>
      <c r="T14" s="14"/>
      <c r="U14" s="14"/>
      <c r="V14" s="14"/>
      <c r="W14" s="14"/>
      <c r="X14" s="283" t="s">
        <v>120</v>
      </c>
      <c r="Y14" s="16">
        <v>440</v>
      </c>
      <c r="Z14" s="16">
        <v>443</v>
      </c>
      <c r="AA14" s="16">
        <v>1</v>
      </c>
      <c r="AB14" s="16">
        <v>1</v>
      </c>
      <c r="AC14" s="14"/>
      <c r="AD14" s="14"/>
      <c r="AE14" s="14"/>
      <c r="AF14" s="14"/>
      <c r="AG14" s="14"/>
      <c r="AH14" s="14"/>
      <c r="AI14" s="14"/>
      <c r="AJ14" s="14"/>
      <c r="AK14" s="14"/>
      <c r="AL14" s="14"/>
      <c r="AM14" s="14"/>
      <c r="AN14" s="14"/>
      <c r="AO14" s="14"/>
      <c r="AP14" s="14"/>
      <c r="AQ14" s="14"/>
      <c r="AR14" s="14"/>
      <c r="AS14" s="14"/>
    </row>
    <row r="15" spans="1:45" ht="15.75" thickBot="1" x14ac:dyDescent="0.3">
      <c r="A15" s="14"/>
      <c r="B15" s="14"/>
      <c r="C15" s="14"/>
      <c r="D15" s="14"/>
      <c r="E15" s="14"/>
      <c r="F15" s="14"/>
      <c r="G15" s="14"/>
      <c r="H15" s="14"/>
      <c r="L15" s="14"/>
      <c r="M15" s="14"/>
      <c r="N15" s="14"/>
      <c r="O15" s="14"/>
      <c r="P15" s="14"/>
      <c r="Q15" s="14"/>
      <c r="R15" s="14"/>
      <c r="S15" s="14"/>
      <c r="T15" s="14"/>
      <c r="U15" s="14"/>
      <c r="V15" s="14"/>
      <c r="W15" s="14"/>
      <c r="X15" s="283" t="s">
        <v>121</v>
      </c>
      <c r="Y15" s="16">
        <v>905</v>
      </c>
      <c r="Z15" s="16">
        <v>588</v>
      </c>
      <c r="AA15" s="16">
        <v>1</v>
      </c>
      <c r="AB15" s="16">
        <v>1</v>
      </c>
      <c r="AC15" s="14"/>
      <c r="AD15" s="14"/>
      <c r="AE15" s="14"/>
      <c r="AF15" s="14"/>
      <c r="AG15" s="14"/>
      <c r="AH15" s="14"/>
      <c r="AI15" s="14"/>
      <c r="AJ15" s="14"/>
      <c r="AK15" s="14"/>
      <c r="AL15" s="14"/>
      <c r="AM15" s="14"/>
      <c r="AN15" s="14"/>
      <c r="AO15" s="14"/>
      <c r="AP15" s="14"/>
      <c r="AQ15" s="14"/>
      <c r="AR15" s="14"/>
      <c r="AS15" s="14"/>
    </row>
    <row r="16" spans="1:45" ht="26.25" thickBot="1" x14ac:dyDescent="0.3">
      <c r="A16" s="14"/>
      <c r="B16" s="14"/>
      <c r="C16" s="14"/>
      <c r="D16" s="14"/>
      <c r="E16" s="14"/>
      <c r="F16" s="14"/>
      <c r="G16" s="14"/>
      <c r="H16" s="14"/>
      <c r="I16" s="14"/>
      <c r="J16" s="14"/>
      <c r="K16" s="14"/>
      <c r="L16" s="14"/>
      <c r="M16" s="14"/>
      <c r="N16" s="14"/>
      <c r="O16" s="14"/>
      <c r="P16" s="14"/>
      <c r="Q16" s="14"/>
      <c r="R16" s="14"/>
      <c r="S16" s="14"/>
      <c r="T16" s="14"/>
      <c r="U16" s="14"/>
      <c r="V16" s="14"/>
      <c r="W16" s="14"/>
      <c r="X16" s="37" t="s">
        <v>640</v>
      </c>
      <c r="Y16" s="37">
        <f>SUM(Y8:Y15)</f>
        <v>2979</v>
      </c>
      <c r="Z16" s="37">
        <f>SUM(Z8:Z15)</f>
        <v>2412</v>
      </c>
      <c r="AA16" s="37">
        <f>SUM(AA8:AA15)</f>
        <v>8</v>
      </c>
      <c r="AB16" s="37">
        <f>SUM(AB8:AB15)</f>
        <v>8</v>
      </c>
      <c r="AC16" s="14"/>
      <c r="AD16" s="14"/>
      <c r="AE16" s="14"/>
      <c r="AF16" s="14"/>
      <c r="AG16" s="14"/>
      <c r="AH16" s="14"/>
      <c r="AI16" s="14"/>
      <c r="AJ16" s="14"/>
      <c r="AK16" s="14"/>
      <c r="AL16" s="14"/>
      <c r="AM16" s="14"/>
      <c r="AN16" s="14"/>
      <c r="AO16" s="14"/>
      <c r="AP16" s="14"/>
      <c r="AQ16" s="14"/>
      <c r="AR16" s="14"/>
      <c r="AS16" s="14"/>
    </row>
    <row r="17" spans="1:45" x14ac:dyDescent="0.25">
      <c r="A17" s="14"/>
      <c r="B17" s="14"/>
      <c r="C17" s="14"/>
      <c r="D17" s="14"/>
      <c r="E17" s="14"/>
      <c r="F17" s="14"/>
      <c r="G17" s="14"/>
      <c r="H17" s="14"/>
      <c r="I17" s="14"/>
      <c r="J17" s="14"/>
      <c r="K17" s="14"/>
      <c r="L17" s="14"/>
      <c r="M17" s="14"/>
      <c r="N17" s="14"/>
      <c r="O17" s="14"/>
      <c r="P17" s="14"/>
      <c r="Q17" s="14"/>
      <c r="R17" s="14"/>
      <c r="S17" s="14"/>
      <c r="T17" s="14"/>
      <c r="U17" s="14"/>
      <c r="V17" s="14"/>
      <c r="W17" s="14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4"/>
      <c r="AI17" s="14"/>
      <c r="AJ17" s="14"/>
      <c r="AK17" s="14"/>
      <c r="AL17" s="14"/>
      <c r="AM17" s="14"/>
      <c r="AN17" s="14"/>
      <c r="AO17" s="14"/>
      <c r="AP17" s="14"/>
      <c r="AQ17" s="14"/>
      <c r="AR17" s="14"/>
      <c r="AS17" s="14"/>
    </row>
    <row r="18" spans="1:45" x14ac:dyDescent="0.25">
      <c r="A18" s="14"/>
      <c r="B18" s="14"/>
      <c r="C18" s="14"/>
      <c r="D18" s="14"/>
      <c r="E18" s="14"/>
      <c r="F18" s="14"/>
      <c r="G18" s="14"/>
      <c r="H18" s="14"/>
      <c r="I18" s="14"/>
      <c r="J18" s="14"/>
      <c r="K18" s="14"/>
      <c r="L18" s="14"/>
      <c r="M18" s="14"/>
      <c r="N18" s="14"/>
      <c r="O18" s="14"/>
      <c r="P18" s="14"/>
      <c r="Q18" s="14"/>
      <c r="R18" s="14"/>
      <c r="S18" s="14"/>
      <c r="T18" s="14"/>
      <c r="U18" s="14"/>
      <c r="V18" s="14"/>
      <c r="W18" s="14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4"/>
      <c r="AI18" s="14"/>
      <c r="AJ18" s="14"/>
      <c r="AK18" s="14"/>
      <c r="AL18" s="14"/>
      <c r="AM18" s="14"/>
      <c r="AN18" s="14"/>
      <c r="AO18" s="14"/>
      <c r="AP18" s="14"/>
      <c r="AQ18" s="14"/>
      <c r="AR18" s="14"/>
      <c r="AS18" s="14"/>
    </row>
    <row r="19" spans="1:45" x14ac:dyDescent="0.25">
      <c r="A19" s="14"/>
      <c r="B19" s="14"/>
      <c r="C19" s="14"/>
      <c r="D19" s="14"/>
      <c r="E19" s="14"/>
      <c r="F19" s="14"/>
      <c r="G19" s="14"/>
      <c r="H19" s="14"/>
      <c r="I19" s="14"/>
      <c r="J19" s="14"/>
      <c r="K19" s="14"/>
      <c r="L19" s="14"/>
      <c r="M19" s="14"/>
      <c r="N19" s="14"/>
      <c r="O19" s="14"/>
      <c r="P19" s="14"/>
      <c r="Q19" s="14"/>
      <c r="R19" s="14"/>
      <c r="S19" s="14"/>
      <c r="T19" s="14"/>
      <c r="U19" s="14"/>
      <c r="V19" s="14"/>
      <c r="W19" s="14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4"/>
      <c r="AI19" s="14"/>
      <c r="AJ19" s="14"/>
      <c r="AK19" s="14"/>
      <c r="AL19" s="14"/>
      <c r="AM19" s="14"/>
      <c r="AN19" s="14"/>
      <c r="AO19" s="14"/>
      <c r="AP19" s="14"/>
      <c r="AQ19" s="14"/>
      <c r="AR19" s="14"/>
      <c r="AS19" s="14"/>
    </row>
    <row r="20" spans="1:45" ht="25.5" x14ac:dyDescent="0.25">
      <c r="A20" s="14"/>
      <c r="B20" s="14"/>
      <c r="C20" s="112" t="s">
        <v>641</v>
      </c>
      <c r="D20" s="112" t="s">
        <v>124</v>
      </c>
      <c r="E20" s="112" t="s">
        <v>228</v>
      </c>
      <c r="H20" s="14"/>
      <c r="I20" s="112" t="s">
        <v>641</v>
      </c>
      <c r="J20" s="112" t="s">
        <v>124</v>
      </c>
      <c r="K20" s="112" t="s">
        <v>228</v>
      </c>
      <c r="M20" s="14"/>
      <c r="N20" s="14"/>
      <c r="O20" s="14"/>
      <c r="P20" s="14"/>
      <c r="Q20" s="14"/>
      <c r="R20" s="14"/>
      <c r="S20" s="14"/>
      <c r="T20" s="14"/>
      <c r="U20" s="14"/>
      <c r="V20" s="14"/>
      <c r="W20" s="14"/>
      <c r="X20" s="14"/>
      <c r="Y20" s="14"/>
      <c r="Z20" s="14"/>
      <c r="AA20" s="14"/>
      <c r="AB20" s="14"/>
      <c r="AC20" s="14"/>
      <c r="AD20" s="14"/>
      <c r="AE20" s="14"/>
      <c r="AF20" s="14"/>
      <c r="AG20" s="14"/>
      <c r="AH20" s="14"/>
      <c r="AI20" s="14"/>
      <c r="AJ20" s="14"/>
      <c r="AK20" s="14"/>
      <c r="AL20" s="14"/>
      <c r="AM20" s="14"/>
      <c r="AN20" s="14"/>
      <c r="AO20" s="14"/>
      <c r="AP20" s="14"/>
      <c r="AQ20" s="14"/>
      <c r="AR20" s="14"/>
      <c r="AS20" s="14"/>
    </row>
    <row r="21" spans="1:45" x14ac:dyDescent="0.25">
      <c r="A21" s="14"/>
      <c r="B21" s="14"/>
      <c r="C21" s="111"/>
      <c r="D21" s="109">
        <v>2367</v>
      </c>
      <c r="E21" s="109">
        <v>20000</v>
      </c>
      <c r="H21" s="14"/>
      <c r="I21" s="111"/>
      <c r="J21" s="109">
        <v>45</v>
      </c>
      <c r="K21" s="109">
        <v>50</v>
      </c>
      <c r="N21" s="14"/>
      <c r="O21" s="14"/>
      <c r="P21" s="14"/>
      <c r="Q21" s="14"/>
      <c r="R21" s="14"/>
      <c r="S21" s="14"/>
      <c r="T21" s="14"/>
      <c r="U21" s="14"/>
      <c r="V21" s="14"/>
      <c r="W21" s="14"/>
      <c r="X21" s="14"/>
      <c r="Y21" s="14"/>
      <c r="Z21" s="14"/>
      <c r="AA21" s="14"/>
      <c r="AB21" s="14"/>
      <c r="AC21" s="14" t="s">
        <v>642</v>
      </c>
      <c r="AD21" s="14"/>
      <c r="AE21" s="14"/>
      <c r="AF21" s="14"/>
      <c r="AG21" s="14"/>
      <c r="AH21" s="14"/>
      <c r="AI21" s="14"/>
      <c r="AJ21" s="14"/>
      <c r="AK21" s="14"/>
      <c r="AL21" s="14"/>
      <c r="AM21" s="14"/>
      <c r="AN21" s="14"/>
      <c r="AO21" s="14"/>
      <c r="AP21" s="14"/>
      <c r="AQ21" s="14"/>
      <c r="AR21" s="14"/>
      <c r="AS21" s="14"/>
    </row>
    <row r="22" spans="1:45" x14ac:dyDescent="0.25">
      <c r="A22" s="14"/>
      <c r="B22" s="14"/>
      <c r="C22" s="14"/>
      <c r="D22" s="14"/>
      <c r="E22" s="14"/>
      <c r="F22" s="14"/>
      <c r="G22" s="14"/>
      <c r="H22" s="14"/>
      <c r="I22" s="14"/>
      <c r="J22" s="14"/>
      <c r="K22" s="14"/>
      <c r="N22" s="14"/>
      <c r="O22" s="14"/>
      <c r="P22" s="14"/>
      <c r="Q22" s="14"/>
      <c r="R22" s="14"/>
      <c r="S22" s="14"/>
      <c r="T22" s="14"/>
      <c r="U22" s="14"/>
      <c r="V22" s="14"/>
      <c r="W22" s="14"/>
      <c r="X22" s="14"/>
      <c r="Y22" s="14"/>
      <c r="Z22" s="14"/>
      <c r="AA22" s="14"/>
      <c r="AB22" s="14"/>
      <c r="AC22" s="14"/>
      <c r="AD22" s="14"/>
      <c r="AE22" s="14"/>
      <c r="AF22" s="14"/>
      <c r="AG22" s="14"/>
      <c r="AH22" s="14"/>
      <c r="AI22" s="14"/>
      <c r="AJ22" s="14"/>
      <c r="AK22" s="14"/>
      <c r="AL22" s="14"/>
      <c r="AM22" s="14"/>
      <c r="AN22" s="14"/>
      <c r="AO22" s="14"/>
      <c r="AP22" s="14"/>
      <c r="AQ22" s="14"/>
      <c r="AR22" s="14"/>
      <c r="AS22" s="14"/>
    </row>
    <row r="23" spans="1:45" x14ac:dyDescent="0.25">
      <c r="A23" s="14"/>
      <c r="B23" s="14"/>
      <c r="C23" s="14"/>
      <c r="D23" s="14"/>
      <c r="E23" s="14"/>
      <c r="F23" s="14"/>
      <c r="G23" s="14"/>
      <c r="H23" s="14"/>
      <c r="I23" s="14"/>
      <c r="J23" s="14"/>
      <c r="K23" s="14"/>
      <c r="L23" s="14"/>
      <c r="N23" s="14"/>
      <c r="O23" s="14"/>
      <c r="P23" s="14"/>
      <c r="Q23" s="14"/>
      <c r="R23" s="14"/>
      <c r="S23" s="14"/>
      <c r="T23" s="14"/>
      <c r="U23" s="14"/>
      <c r="V23" s="14"/>
      <c r="W23" s="14"/>
      <c r="X23" s="14"/>
      <c r="Y23" s="14"/>
      <c r="Z23" s="14"/>
      <c r="AA23" s="14"/>
      <c r="AB23" s="14"/>
      <c r="AC23" s="14"/>
      <c r="AD23" s="14"/>
      <c r="AE23" s="14"/>
      <c r="AF23" s="14"/>
      <c r="AG23" s="14"/>
      <c r="AH23" s="14"/>
      <c r="AI23" s="14"/>
      <c r="AJ23" s="14"/>
      <c r="AK23" s="14"/>
      <c r="AL23" s="14"/>
      <c r="AM23" s="14"/>
      <c r="AN23" s="14"/>
      <c r="AO23" s="14"/>
      <c r="AP23" s="14"/>
      <c r="AQ23" s="14"/>
      <c r="AR23" s="14"/>
      <c r="AS23" s="14"/>
    </row>
    <row r="24" spans="1:45" x14ac:dyDescent="0.25">
      <c r="A24" s="14"/>
      <c r="B24" s="14"/>
      <c r="C24" s="14"/>
      <c r="D24" s="14"/>
      <c r="E24" s="14"/>
      <c r="F24" s="14"/>
      <c r="G24" s="14"/>
      <c r="H24" s="14"/>
      <c r="I24" s="14"/>
      <c r="J24" s="14"/>
      <c r="K24" s="14"/>
      <c r="L24" s="14"/>
      <c r="M24" s="14"/>
      <c r="N24" s="14"/>
      <c r="O24" s="14"/>
      <c r="P24" s="14"/>
      <c r="Q24" s="14"/>
      <c r="R24" s="14"/>
      <c r="S24" s="14"/>
      <c r="T24" s="14"/>
      <c r="U24" s="14"/>
      <c r="V24" s="14"/>
      <c r="W24" s="14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4"/>
      <c r="AI24" s="14"/>
      <c r="AJ24" s="14"/>
      <c r="AK24" s="14"/>
      <c r="AL24" s="14"/>
      <c r="AM24" s="14"/>
      <c r="AN24" s="14"/>
      <c r="AO24" s="14"/>
      <c r="AP24" s="14"/>
      <c r="AQ24" s="14"/>
      <c r="AR24" s="14"/>
      <c r="AS24" s="14"/>
    </row>
    <row r="25" spans="1:45" x14ac:dyDescent="0.25">
      <c r="A25" s="14"/>
      <c r="B25" s="14"/>
      <c r="C25" s="14"/>
      <c r="D25" s="14"/>
      <c r="E25" s="14"/>
      <c r="F25" s="14"/>
      <c r="G25" s="14"/>
      <c r="H25" s="14"/>
      <c r="I25" s="14"/>
      <c r="J25" s="14"/>
      <c r="K25" s="14"/>
      <c r="L25" s="14"/>
      <c r="M25" s="14"/>
      <c r="N25" s="14"/>
      <c r="O25" s="14"/>
      <c r="P25" s="14"/>
      <c r="Q25" s="14"/>
      <c r="R25" s="14"/>
      <c r="S25" s="14"/>
      <c r="T25" s="14"/>
      <c r="U25" s="14"/>
      <c r="V25" s="14"/>
      <c r="W25" s="14"/>
      <c r="X25" s="14"/>
      <c r="Y25" s="14"/>
      <c r="Z25" s="14"/>
      <c r="AA25" s="14"/>
      <c r="AB25" s="14"/>
      <c r="AC25" s="14"/>
      <c r="AD25" s="14"/>
      <c r="AE25" s="14"/>
      <c r="AF25" s="14"/>
      <c r="AG25" s="14"/>
      <c r="AH25" s="14"/>
      <c r="AI25" s="14"/>
      <c r="AJ25" s="14"/>
      <c r="AK25" s="14"/>
      <c r="AL25" s="14"/>
      <c r="AM25" s="14"/>
      <c r="AN25" s="14"/>
      <c r="AO25" s="14"/>
      <c r="AP25" s="14"/>
      <c r="AQ25" s="14"/>
      <c r="AR25" s="14"/>
      <c r="AS25" s="14"/>
    </row>
    <row r="26" spans="1:45" x14ac:dyDescent="0.25">
      <c r="A26" s="14"/>
      <c r="B26" s="14"/>
      <c r="C26" s="14"/>
      <c r="D26" s="14"/>
      <c r="E26" s="14"/>
      <c r="F26" s="14"/>
      <c r="G26" s="14"/>
      <c r="H26" s="14"/>
      <c r="I26" s="14"/>
      <c r="J26" s="14"/>
      <c r="K26" s="14"/>
      <c r="L26" s="14"/>
      <c r="M26" s="14"/>
      <c r="N26" s="14"/>
      <c r="O26" s="14"/>
      <c r="P26" s="14"/>
      <c r="Q26" s="14"/>
      <c r="R26" s="14"/>
      <c r="S26" s="14"/>
      <c r="T26" s="14"/>
      <c r="U26" s="14"/>
      <c r="V26" s="14"/>
      <c r="W26" s="14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4"/>
      <c r="AI26" s="14"/>
      <c r="AJ26" s="14"/>
      <c r="AK26" s="14"/>
      <c r="AL26" s="14"/>
      <c r="AM26" s="14"/>
      <c r="AN26" s="14"/>
      <c r="AO26" s="14"/>
      <c r="AP26" s="14"/>
      <c r="AQ26" s="14"/>
      <c r="AR26" s="14"/>
      <c r="AS26" s="14"/>
    </row>
    <row r="27" spans="1:45" x14ac:dyDescent="0.25">
      <c r="A27" s="14"/>
      <c r="B27" s="14"/>
      <c r="C27" s="14"/>
      <c r="D27" s="14"/>
      <c r="E27" s="14"/>
      <c r="F27" s="14"/>
      <c r="G27" s="14"/>
      <c r="H27" s="14"/>
      <c r="I27" s="14"/>
      <c r="J27" s="14"/>
      <c r="K27" s="14"/>
      <c r="L27" s="14"/>
      <c r="M27" s="14"/>
      <c r="N27" s="14"/>
      <c r="O27" s="14"/>
      <c r="P27" s="14"/>
      <c r="Q27" s="14"/>
      <c r="R27" s="14"/>
      <c r="S27" s="14"/>
      <c r="T27" s="14"/>
      <c r="U27" s="14"/>
      <c r="V27" s="14"/>
      <c r="W27" s="14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4"/>
      <c r="AI27" s="14"/>
      <c r="AJ27" s="14"/>
      <c r="AK27" s="14"/>
      <c r="AL27" s="14"/>
      <c r="AM27" s="14"/>
      <c r="AN27" s="14"/>
      <c r="AO27" s="14"/>
      <c r="AP27" s="14"/>
      <c r="AQ27" s="14"/>
      <c r="AR27" s="14"/>
      <c r="AS27" s="14"/>
    </row>
    <row r="28" spans="1:45" x14ac:dyDescent="0.25">
      <c r="A28" s="14"/>
      <c r="B28" s="14"/>
      <c r="C28" s="14"/>
      <c r="D28" s="14"/>
      <c r="E28" s="14"/>
      <c r="F28" s="14"/>
      <c r="G28" s="14"/>
      <c r="H28" s="14"/>
      <c r="I28" s="14"/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4"/>
      <c r="U28" s="14"/>
      <c r="V28" s="14"/>
      <c r="W28" s="14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4"/>
      <c r="AI28" s="14"/>
      <c r="AJ28" s="14"/>
      <c r="AK28" s="14"/>
      <c r="AL28" s="14"/>
      <c r="AM28" s="14"/>
      <c r="AN28" s="14"/>
      <c r="AO28" s="14"/>
      <c r="AP28" s="14"/>
      <c r="AQ28" s="14"/>
      <c r="AR28" s="14"/>
      <c r="AS28" s="14"/>
    </row>
    <row r="29" spans="1:45" x14ac:dyDescent="0.25">
      <c r="A29" s="14"/>
      <c r="B29" s="14"/>
      <c r="C29" s="14"/>
      <c r="D29" s="14"/>
      <c r="E29" s="14"/>
      <c r="F29" s="14"/>
      <c r="G29" s="14"/>
      <c r="H29" s="14"/>
      <c r="I29" s="14"/>
      <c r="J29" s="14"/>
      <c r="K29" s="14"/>
      <c r="L29" s="14"/>
      <c r="M29" s="14"/>
      <c r="N29" s="14"/>
      <c r="O29" s="14"/>
      <c r="P29" s="14"/>
      <c r="Q29" s="14"/>
      <c r="R29" s="14"/>
      <c r="S29" s="14"/>
      <c r="T29" s="14"/>
      <c r="U29" s="14"/>
      <c r="V29" s="14"/>
      <c r="W29" s="14"/>
      <c r="X29" s="14"/>
      <c r="Y29" s="14"/>
      <c r="Z29" s="14"/>
      <c r="AA29" s="14"/>
      <c r="AB29" s="14"/>
      <c r="AC29" s="14"/>
      <c r="AD29" s="14"/>
      <c r="AE29" s="14"/>
      <c r="AF29" s="14"/>
      <c r="AG29" s="14"/>
      <c r="AH29" s="14"/>
      <c r="AI29" s="14"/>
      <c r="AJ29" s="14"/>
      <c r="AK29" s="14"/>
      <c r="AL29" s="14"/>
      <c r="AM29" s="14"/>
      <c r="AN29" s="14"/>
      <c r="AO29" s="14"/>
      <c r="AP29" s="14"/>
      <c r="AQ29" s="14"/>
      <c r="AR29" s="14"/>
      <c r="AS29" s="14"/>
    </row>
    <row r="30" spans="1:45" x14ac:dyDescent="0.25">
      <c r="A30" s="14"/>
      <c r="B30" s="14"/>
      <c r="C30" s="14"/>
      <c r="D30" s="14"/>
      <c r="E30" s="14"/>
      <c r="F30" s="14"/>
      <c r="G30" s="14"/>
      <c r="H30" s="14"/>
      <c r="I30" s="14"/>
      <c r="J30" s="14"/>
      <c r="K30" s="14"/>
      <c r="L30" s="14"/>
      <c r="M30" s="14"/>
      <c r="N30" s="14"/>
      <c r="O30" s="14"/>
      <c r="P30" s="14"/>
      <c r="Q30" s="14"/>
      <c r="R30" s="14"/>
      <c r="S30" s="14"/>
      <c r="T30" s="14"/>
      <c r="U30" s="14"/>
      <c r="V30" s="14"/>
      <c r="W30" s="14"/>
      <c r="X30" s="14"/>
      <c r="Y30" s="14"/>
      <c r="Z30" s="14"/>
      <c r="AA30" s="14"/>
      <c r="AB30" s="14"/>
      <c r="AC30" s="14"/>
      <c r="AD30" s="14"/>
      <c r="AE30" s="14"/>
      <c r="AF30" s="14"/>
      <c r="AG30" s="14"/>
      <c r="AH30" s="14"/>
      <c r="AI30" s="14"/>
      <c r="AJ30" s="14"/>
      <c r="AK30" s="14"/>
      <c r="AL30" s="14"/>
      <c r="AM30" s="14"/>
      <c r="AN30" s="14"/>
      <c r="AO30" s="14"/>
      <c r="AP30" s="14"/>
      <c r="AQ30" s="14"/>
      <c r="AR30" s="14"/>
      <c r="AS30" s="14"/>
    </row>
    <row r="31" spans="1:45" x14ac:dyDescent="0.25">
      <c r="A31" s="14"/>
      <c r="B31" s="14"/>
      <c r="C31" s="14"/>
      <c r="D31" s="14"/>
      <c r="E31" s="14"/>
      <c r="F31" s="14"/>
      <c r="G31" s="14"/>
      <c r="H31" s="14"/>
      <c r="I31" s="14"/>
      <c r="J31" s="14"/>
      <c r="K31" s="14"/>
      <c r="L31" s="14"/>
      <c r="M31" s="14"/>
      <c r="N31" s="14"/>
      <c r="O31" s="14"/>
      <c r="P31" s="14"/>
      <c r="Q31" s="14"/>
      <c r="R31" s="14"/>
      <c r="S31" s="14"/>
      <c r="T31" s="14"/>
      <c r="U31" s="14"/>
      <c r="V31" s="14"/>
      <c r="W31" s="14"/>
      <c r="X31" s="14"/>
      <c r="Y31" s="14"/>
      <c r="Z31" s="14"/>
      <c r="AA31" s="14"/>
      <c r="AB31" s="14"/>
      <c r="AC31" s="14"/>
      <c r="AD31" s="14"/>
      <c r="AE31" s="14"/>
      <c r="AF31" s="14"/>
      <c r="AG31" s="14"/>
      <c r="AH31" s="14"/>
      <c r="AI31" s="14"/>
      <c r="AJ31" s="14"/>
      <c r="AK31" s="14"/>
      <c r="AL31" s="14"/>
      <c r="AM31" s="14"/>
      <c r="AN31" s="14"/>
      <c r="AO31" s="14"/>
      <c r="AP31" s="14"/>
      <c r="AQ31" s="14"/>
      <c r="AR31" s="14"/>
      <c r="AS31" s="14"/>
    </row>
    <row r="32" spans="1:45" x14ac:dyDescent="0.25">
      <c r="A32" s="14"/>
      <c r="B32" s="14"/>
      <c r="C32" s="14"/>
      <c r="D32" s="14"/>
      <c r="E32" s="14"/>
      <c r="F32" s="14"/>
      <c r="G32" s="14"/>
      <c r="H32" s="14"/>
      <c r="I32" s="14"/>
      <c r="J32" s="14"/>
      <c r="K32" s="14"/>
      <c r="L32" s="14"/>
      <c r="M32" s="14"/>
      <c r="N32" s="14"/>
      <c r="O32" s="14"/>
      <c r="P32" s="14"/>
      <c r="Q32" s="14"/>
      <c r="R32" s="14"/>
      <c r="S32" s="14"/>
      <c r="T32" s="14"/>
      <c r="U32" s="14"/>
      <c r="V32" s="14"/>
      <c r="W32" s="14"/>
      <c r="X32" s="14"/>
      <c r="Y32" s="14"/>
      <c r="Z32" s="14"/>
      <c r="AA32" s="14"/>
      <c r="AB32" s="14"/>
      <c r="AC32" s="14"/>
      <c r="AD32" s="14"/>
      <c r="AE32" s="14"/>
      <c r="AF32" s="14"/>
      <c r="AG32" s="14"/>
      <c r="AH32" s="14"/>
      <c r="AI32" s="14"/>
      <c r="AJ32" s="14"/>
      <c r="AK32" s="14"/>
      <c r="AL32" s="14"/>
      <c r="AM32" s="14"/>
      <c r="AN32" s="14"/>
      <c r="AO32" s="14"/>
      <c r="AP32" s="14"/>
      <c r="AQ32" s="14"/>
      <c r="AR32" s="14"/>
      <c r="AS32" s="14"/>
    </row>
    <row r="33" spans="1:45" x14ac:dyDescent="0.25">
      <c r="A33" s="14"/>
      <c r="B33" s="14"/>
      <c r="C33" s="14"/>
      <c r="D33" s="14"/>
      <c r="E33" s="14"/>
      <c r="F33" s="14"/>
      <c r="G33" s="14"/>
      <c r="H33" s="14"/>
      <c r="I33" s="14"/>
      <c r="J33" s="14"/>
      <c r="K33" s="14"/>
      <c r="L33" s="14"/>
      <c r="M33" s="14"/>
      <c r="N33" s="14"/>
      <c r="O33" s="14"/>
      <c r="P33" s="14"/>
      <c r="Q33" s="14"/>
      <c r="R33" s="14"/>
      <c r="S33" s="14"/>
      <c r="T33" s="14"/>
      <c r="U33" s="14"/>
      <c r="V33" s="14"/>
      <c r="W33" s="14"/>
      <c r="X33" s="14"/>
      <c r="Y33" s="14"/>
      <c r="Z33" s="14"/>
      <c r="AA33" s="14"/>
      <c r="AB33" s="14"/>
      <c r="AC33" s="14"/>
      <c r="AD33" s="14"/>
      <c r="AE33" s="14"/>
      <c r="AF33" s="14"/>
      <c r="AG33" s="14"/>
      <c r="AH33" s="14"/>
      <c r="AI33" s="14"/>
      <c r="AJ33" s="14"/>
      <c r="AK33" s="14"/>
      <c r="AL33" s="14"/>
      <c r="AM33" s="14"/>
      <c r="AN33" s="14"/>
      <c r="AO33" s="14"/>
      <c r="AP33" s="14"/>
      <c r="AQ33" s="14"/>
      <c r="AR33" s="14"/>
      <c r="AS33" s="14"/>
    </row>
    <row r="34" spans="1:45" ht="26.25" x14ac:dyDescent="0.25">
      <c r="A34" s="14"/>
      <c r="B34" s="14"/>
      <c r="C34" s="140" t="s">
        <v>643</v>
      </c>
      <c r="D34" s="112" t="s">
        <v>124</v>
      </c>
      <c r="E34" s="112" t="s">
        <v>228</v>
      </c>
      <c r="F34" s="14"/>
      <c r="G34" s="14"/>
      <c r="H34" s="14"/>
      <c r="I34" s="140" t="s">
        <v>643</v>
      </c>
      <c r="J34" s="112" t="s">
        <v>124</v>
      </c>
      <c r="K34" s="112" t="s">
        <v>228</v>
      </c>
      <c r="L34" s="14"/>
      <c r="M34" s="14"/>
      <c r="N34" s="14"/>
      <c r="O34" s="14"/>
      <c r="P34" s="14"/>
      <c r="Q34" s="14"/>
      <c r="R34" s="14"/>
      <c r="S34" s="14"/>
      <c r="T34" s="14"/>
      <c r="U34" s="14"/>
      <c r="V34" s="14"/>
      <c r="W34" s="14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4"/>
      <c r="AI34" s="14"/>
      <c r="AJ34" s="14"/>
      <c r="AK34" s="14"/>
      <c r="AL34" s="14"/>
      <c r="AM34" s="14"/>
      <c r="AN34" s="14"/>
      <c r="AO34" s="14"/>
      <c r="AP34" s="14"/>
      <c r="AQ34" s="14"/>
      <c r="AR34" s="14"/>
      <c r="AS34" s="14"/>
    </row>
    <row r="35" spans="1:45" x14ac:dyDescent="0.25">
      <c r="A35" s="14"/>
      <c r="B35" s="14"/>
      <c r="C35" s="111"/>
      <c r="D35" s="109">
        <v>2957</v>
      </c>
      <c r="E35" s="109">
        <v>5555</v>
      </c>
      <c r="F35" s="14"/>
      <c r="G35" s="14"/>
      <c r="H35" s="14"/>
      <c r="I35" s="111"/>
      <c r="J35" s="109">
        <v>22</v>
      </c>
      <c r="K35" s="109">
        <v>55</v>
      </c>
      <c r="L35" s="14"/>
      <c r="M35" s="14"/>
      <c r="N35" s="14"/>
      <c r="O35" s="14"/>
      <c r="P35" s="14"/>
      <c r="Q35" s="14"/>
      <c r="R35" s="14"/>
      <c r="S35" s="14"/>
      <c r="T35" s="14"/>
      <c r="U35" s="14"/>
      <c r="V35" s="14"/>
      <c r="W35" s="14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4"/>
      <c r="AI35" s="14"/>
      <c r="AJ35" s="14"/>
      <c r="AK35" s="14"/>
      <c r="AL35" s="14"/>
      <c r="AM35" s="14"/>
      <c r="AN35" s="14"/>
      <c r="AO35" s="14"/>
      <c r="AP35" s="14"/>
      <c r="AQ35" s="14"/>
      <c r="AR35" s="14"/>
      <c r="AS35" s="14"/>
    </row>
    <row r="36" spans="1:45" x14ac:dyDescent="0.25">
      <c r="A36" s="14"/>
      <c r="B36" s="14"/>
      <c r="C36" s="14"/>
      <c r="D36" s="14"/>
      <c r="E36" s="14"/>
      <c r="F36" s="14"/>
      <c r="G36" s="14"/>
      <c r="H36" s="14"/>
      <c r="I36" s="14"/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4"/>
      <c r="U36" s="14"/>
      <c r="V36" s="14"/>
      <c r="W36" s="14"/>
      <c r="X36" s="14"/>
      <c r="Y36" s="14"/>
      <c r="Z36" s="14"/>
      <c r="AA36" s="14"/>
      <c r="AB36" s="14"/>
      <c r="AC36" s="14" t="s">
        <v>644</v>
      </c>
      <c r="AD36" s="14"/>
      <c r="AE36" s="14"/>
      <c r="AF36" s="14"/>
      <c r="AG36" s="14"/>
      <c r="AH36" s="14"/>
      <c r="AI36" s="14"/>
      <c r="AJ36" s="14"/>
      <c r="AK36" s="14"/>
      <c r="AL36" s="14"/>
      <c r="AM36" s="14"/>
      <c r="AN36" s="14"/>
      <c r="AO36" s="14"/>
      <c r="AP36" s="14"/>
      <c r="AQ36" s="14"/>
      <c r="AR36" s="14"/>
      <c r="AS36" s="14"/>
    </row>
    <row r="37" spans="1:45" x14ac:dyDescent="0.25">
      <c r="A37" s="14"/>
      <c r="B37" s="14"/>
      <c r="C37" s="14"/>
      <c r="D37" s="14"/>
      <c r="E37" s="14"/>
      <c r="F37" s="14"/>
      <c r="G37" s="14"/>
      <c r="H37" s="14"/>
      <c r="I37" s="14"/>
      <c r="J37" s="14"/>
      <c r="K37" s="14"/>
      <c r="L37" s="14"/>
      <c r="M37" s="14"/>
      <c r="N37" s="14"/>
      <c r="O37" s="14"/>
      <c r="P37" s="14"/>
      <c r="Q37" s="14"/>
      <c r="R37" s="14"/>
      <c r="S37" s="14"/>
      <c r="T37" s="14"/>
      <c r="U37" s="14"/>
      <c r="V37" s="14"/>
      <c r="W37" s="14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4"/>
      <c r="AI37" s="14"/>
      <c r="AJ37" s="14"/>
      <c r="AK37" s="14"/>
      <c r="AL37" s="14"/>
      <c r="AM37" s="14"/>
      <c r="AN37" s="14"/>
      <c r="AO37" s="14"/>
      <c r="AP37" s="14"/>
      <c r="AQ37" s="14"/>
      <c r="AR37" s="14"/>
      <c r="AS37" s="14"/>
    </row>
    <row r="38" spans="1:45" x14ac:dyDescent="0.25">
      <c r="A38" s="14"/>
      <c r="B38" s="14"/>
      <c r="C38" s="14"/>
      <c r="D38" s="14"/>
      <c r="E38" s="14"/>
      <c r="F38" s="14"/>
      <c r="G38" s="14"/>
      <c r="H38" s="14"/>
      <c r="I38" s="14"/>
      <c r="J38" s="14"/>
      <c r="K38" s="14"/>
      <c r="L38" s="14"/>
      <c r="M38" s="14"/>
      <c r="N38" s="14"/>
      <c r="O38" s="14"/>
      <c r="P38" s="14"/>
      <c r="Q38" s="14"/>
      <c r="R38" s="14"/>
      <c r="S38" s="14"/>
      <c r="T38" s="14"/>
      <c r="U38" s="14"/>
      <c r="V38" s="14"/>
      <c r="W38" s="14"/>
      <c r="X38" s="14"/>
      <c r="Y38" s="14"/>
      <c r="Z38" s="14"/>
      <c r="AA38" s="14"/>
      <c r="AB38" s="14"/>
      <c r="AC38" s="14"/>
      <c r="AD38" s="14"/>
      <c r="AE38" s="14"/>
      <c r="AF38" s="14"/>
      <c r="AG38" s="14"/>
      <c r="AH38" s="14"/>
      <c r="AI38" s="14"/>
      <c r="AJ38" s="14"/>
      <c r="AK38" s="14"/>
      <c r="AL38" s="14"/>
      <c r="AM38" s="14"/>
      <c r="AN38" s="14"/>
      <c r="AO38" s="14"/>
      <c r="AP38" s="14"/>
      <c r="AQ38" s="14"/>
      <c r="AR38" s="14"/>
      <c r="AS38" s="14"/>
    </row>
    <row r="39" spans="1:45" x14ac:dyDescent="0.25">
      <c r="A39" s="14"/>
      <c r="B39" s="14"/>
      <c r="C39" s="14"/>
      <c r="D39" s="14"/>
      <c r="E39" s="14"/>
      <c r="F39" s="14"/>
      <c r="G39" s="14"/>
      <c r="H39" s="14"/>
      <c r="I39" s="14"/>
      <c r="J39" s="14"/>
      <c r="K39" s="14"/>
      <c r="L39" s="14"/>
      <c r="M39" s="14"/>
      <c r="N39" s="14"/>
      <c r="O39" s="14"/>
      <c r="P39" s="14"/>
      <c r="Q39" s="14"/>
      <c r="R39" s="14"/>
      <c r="S39" s="14"/>
      <c r="T39" s="14"/>
      <c r="U39" s="14"/>
      <c r="V39" s="14"/>
      <c r="W39" s="14"/>
      <c r="X39" s="14"/>
      <c r="Y39" s="14"/>
      <c r="Z39" s="14"/>
      <c r="AA39" s="14"/>
      <c r="AB39" s="14"/>
      <c r="AC39" s="14"/>
      <c r="AD39" s="14"/>
      <c r="AE39" s="14"/>
      <c r="AF39" s="14"/>
      <c r="AG39" s="14"/>
      <c r="AH39" s="14"/>
      <c r="AI39" s="14"/>
      <c r="AJ39" s="14"/>
      <c r="AK39" s="14"/>
      <c r="AL39" s="14"/>
      <c r="AM39" s="14"/>
      <c r="AN39" s="14"/>
      <c r="AO39" s="14"/>
      <c r="AP39" s="14"/>
      <c r="AQ39" s="14"/>
      <c r="AR39" s="14"/>
      <c r="AS39" s="14"/>
    </row>
    <row r="40" spans="1:45" x14ac:dyDescent="0.25">
      <c r="A40" s="14"/>
      <c r="B40" s="14"/>
      <c r="C40" s="14"/>
      <c r="D40" s="14"/>
      <c r="E40" s="14"/>
      <c r="F40" s="14"/>
      <c r="G40" s="14"/>
      <c r="H40" s="14"/>
      <c r="I40" s="14"/>
      <c r="J40" s="14"/>
      <c r="K40" s="14"/>
      <c r="L40" s="14"/>
      <c r="M40" s="14"/>
      <c r="N40" s="14"/>
      <c r="O40" s="14"/>
      <c r="P40" s="14"/>
      <c r="Q40" s="14"/>
      <c r="R40" s="14"/>
      <c r="S40" s="14"/>
      <c r="T40" s="14"/>
      <c r="U40" s="14"/>
      <c r="V40" s="14"/>
      <c r="W40" s="14"/>
      <c r="X40" s="14"/>
      <c r="Y40" s="14"/>
      <c r="Z40" s="14"/>
      <c r="AA40" s="14"/>
      <c r="AB40" s="14"/>
      <c r="AC40" s="14"/>
      <c r="AD40" s="14"/>
      <c r="AE40" s="14"/>
      <c r="AF40" s="14"/>
      <c r="AG40" s="14"/>
      <c r="AH40" s="14"/>
      <c r="AI40" s="14"/>
      <c r="AJ40" s="14"/>
      <c r="AK40" s="14"/>
      <c r="AL40" s="14"/>
      <c r="AM40" s="14"/>
      <c r="AN40" s="14"/>
      <c r="AO40" s="14"/>
      <c r="AP40" s="14"/>
      <c r="AQ40" s="14"/>
      <c r="AR40" s="14"/>
      <c r="AS40" s="14"/>
    </row>
    <row r="41" spans="1:45" x14ac:dyDescent="0.25">
      <c r="A41" s="14"/>
      <c r="B41" s="14"/>
      <c r="C41" s="14"/>
      <c r="D41" s="14"/>
      <c r="E41" s="14"/>
      <c r="F41" s="14"/>
      <c r="G41" s="14"/>
      <c r="H41" s="14"/>
      <c r="I41" s="14"/>
      <c r="J41" s="14"/>
      <c r="K41" s="14"/>
      <c r="L41" s="14"/>
      <c r="M41" s="14"/>
      <c r="N41" s="14"/>
      <c r="O41" s="14"/>
      <c r="P41" s="14"/>
      <c r="Q41" s="14"/>
      <c r="R41" s="14"/>
      <c r="S41" s="14"/>
      <c r="T41" s="14"/>
      <c r="U41" s="14"/>
      <c r="V41" s="14"/>
      <c r="W41" s="14"/>
      <c r="X41" s="14"/>
      <c r="Y41" s="14"/>
      <c r="Z41" s="14"/>
      <c r="AA41" s="14"/>
      <c r="AB41" s="14"/>
      <c r="AC41" s="14"/>
      <c r="AD41" s="14"/>
      <c r="AE41" s="14"/>
      <c r="AF41" s="14"/>
      <c r="AG41" s="14"/>
      <c r="AH41" s="14"/>
      <c r="AI41" s="14"/>
      <c r="AJ41" s="14"/>
      <c r="AK41" s="14"/>
      <c r="AL41" s="14"/>
      <c r="AM41" s="14"/>
      <c r="AN41" s="14"/>
      <c r="AO41" s="14"/>
      <c r="AP41" s="14"/>
      <c r="AQ41" s="14"/>
      <c r="AR41" s="14"/>
      <c r="AS41" s="14"/>
    </row>
    <row r="42" spans="1:45" x14ac:dyDescent="0.25">
      <c r="A42" s="14"/>
      <c r="B42" s="14"/>
      <c r="C42" s="14"/>
      <c r="D42" s="14"/>
      <c r="E42" s="14"/>
      <c r="F42" s="14"/>
      <c r="G42" s="14"/>
      <c r="H42" s="14"/>
      <c r="I42" s="14"/>
      <c r="J42" s="14"/>
      <c r="K42" s="14"/>
      <c r="L42" s="14"/>
      <c r="M42" s="14"/>
      <c r="N42" s="14"/>
      <c r="O42" s="14"/>
      <c r="P42" s="14"/>
      <c r="Q42" s="14"/>
      <c r="R42" s="14"/>
      <c r="S42" s="14"/>
      <c r="T42" s="14"/>
      <c r="U42" s="14"/>
      <c r="V42" s="14"/>
      <c r="W42" s="14"/>
      <c r="X42" s="14"/>
      <c r="Y42" s="14"/>
      <c r="Z42" s="14"/>
      <c r="AA42" s="14"/>
      <c r="AB42" s="14"/>
      <c r="AC42" s="14"/>
      <c r="AD42" s="14"/>
      <c r="AE42" s="14"/>
      <c r="AF42" s="14"/>
      <c r="AG42" s="14"/>
      <c r="AH42" s="14"/>
      <c r="AI42" s="14"/>
      <c r="AJ42" s="14"/>
      <c r="AK42" s="14"/>
      <c r="AL42" s="14"/>
      <c r="AM42" s="14"/>
      <c r="AN42" s="14"/>
      <c r="AO42" s="14"/>
      <c r="AP42" s="14"/>
      <c r="AQ42" s="14"/>
      <c r="AR42" s="14"/>
      <c r="AS42" s="14"/>
    </row>
    <row r="43" spans="1:45" x14ac:dyDescent="0.25">
      <c r="A43" s="14"/>
      <c r="B43" s="14"/>
      <c r="C43" s="14"/>
      <c r="D43" s="14"/>
      <c r="E43" s="14"/>
      <c r="F43" s="14"/>
      <c r="G43" s="14"/>
      <c r="H43" s="14"/>
      <c r="I43" s="14"/>
      <c r="J43" s="14"/>
      <c r="K43" s="14"/>
      <c r="L43" s="14"/>
      <c r="M43" s="14"/>
      <c r="N43" s="14"/>
      <c r="O43" s="14"/>
      <c r="P43" s="14"/>
      <c r="Q43" s="14"/>
      <c r="R43" s="14"/>
      <c r="S43" s="14"/>
      <c r="T43" s="14"/>
      <c r="U43" s="14"/>
      <c r="V43" s="14"/>
      <c r="W43" s="14"/>
      <c r="X43" s="14"/>
      <c r="Y43" s="14"/>
      <c r="Z43" s="14"/>
      <c r="AA43" s="14"/>
      <c r="AB43" s="14"/>
      <c r="AC43" s="14"/>
      <c r="AD43" s="14"/>
      <c r="AE43" s="14"/>
      <c r="AF43" s="14"/>
      <c r="AG43" s="14"/>
      <c r="AH43" s="14"/>
      <c r="AI43" s="14"/>
      <c r="AJ43" s="14"/>
      <c r="AK43" s="14"/>
      <c r="AL43" s="14"/>
      <c r="AM43" s="14"/>
      <c r="AN43" s="14"/>
      <c r="AO43" s="14"/>
      <c r="AP43" s="14"/>
      <c r="AQ43" s="14"/>
      <c r="AR43" s="14"/>
      <c r="AS43" s="14"/>
    </row>
    <row r="44" spans="1:45" x14ac:dyDescent="0.25">
      <c r="A44" s="14"/>
      <c r="B44" s="14"/>
      <c r="C44" s="14"/>
      <c r="D44" s="14"/>
      <c r="E44" s="14"/>
      <c r="F44" s="14"/>
      <c r="G44" s="14"/>
      <c r="H44" s="14"/>
      <c r="I44" s="14"/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4"/>
      <c r="U44" s="14"/>
      <c r="V44" s="14"/>
      <c r="W44" s="14"/>
      <c r="X44" s="14"/>
      <c r="Y44" s="14"/>
      <c r="Z44" s="14"/>
      <c r="AA44" s="14"/>
      <c r="AB44" s="14"/>
      <c r="AC44" s="14"/>
      <c r="AD44" s="14"/>
      <c r="AE44" s="14"/>
      <c r="AF44" s="14"/>
      <c r="AG44" s="14"/>
      <c r="AH44" s="14"/>
      <c r="AI44" s="14"/>
      <c r="AJ44" s="14"/>
      <c r="AK44" s="14"/>
      <c r="AL44" s="14"/>
      <c r="AM44" s="14"/>
      <c r="AN44" s="14"/>
      <c r="AO44" s="14"/>
      <c r="AP44" s="14"/>
      <c r="AQ44" s="14"/>
      <c r="AR44" s="14"/>
      <c r="AS44" s="14"/>
    </row>
    <row r="45" spans="1:45" x14ac:dyDescent="0.25">
      <c r="A45" s="14"/>
      <c r="B45" s="14"/>
      <c r="C45" s="14"/>
      <c r="D45" s="14"/>
      <c r="E45" s="14"/>
      <c r="F45" s="14"/>
      <c r="G45" s="14"/>
      <c r="H45" s="14"/>
      <c r="I45" s="14"/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4"/>
      <c r="U45" s="14"/>
      <c r="V45" s="14"/>
      <c r="W45" s="14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4"/>
      <c r="AI45" s="14"/>
      <c r="AJ45" s="14"/>
      <c r="AK45" s="14"/>
      <c r="AL45" s="14"/>
      <c r="AM45" s="14"/>
      <c r="AN45" s="14"/>
      <c r="AO45" s="14"/>
      <c r="AP45" s="14"/>
      <c r="AQ45" s="14"/>
      <c r="AR45" s="14"/>
      <c r="AS45" s="14"/>
    </row>
    <row r="46" spans="1:45" x14ac:dyDescent="0.25">
      <c r="A46" s="14"/>
      <c r="B46" s="14"/>
      <c r="C46" s="14"/>
      <c r="D46" s="14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  <c r="U46" s="14"/>
      <c r="V46" s="14"/>
      <c r="W46" s="14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4"/>
      <c r="AI46" s="14"/>
      <c r="AJ46" s="14"/>
      <c r="AK46" s="14"/>
      <c r="AL46" s="14"/>
      <c r="AM46" s="14"/>
      <c r="AN46" s="14"/>
      <c r="AO46" s="14"/>
      <c r="AP46" s="14"/>
      <c r="AQ46" s="14"/>
      <c r="AR46" s="14"/>
      <c r="AS46" s="14"/>
    </row>
    <row r="47" spans="1:45" x14ac:dyDescent="0.25">
      <c r="A47" s="14"/>
      <c r="B47" s="14"/>
      <c r="C47" s="14"/>
      <c r="D47" s="14"/>
      <c r="E47" s="14"/>
      <c r="F47" s="14"/>
      <c r="G47" s="14"/>
      <c r="H47" s="14"/>
      <c r="I47" s="14"/>
      <c r="J47" s="14"/>
      <c r="K47" s="14"/>
      <c r="L47" s="14"/>
      <c r="M47" s="14"/>
      <c r="N47" s="14"/>
      <c r="O47" s="14"/>
      <c r="P47" s="14"/>
      <c r="Q47" s="14"/>
      <c r="R47" s="14"/>
      <c r="S47" s="14"/>
      <c r="T47" s="14"/>
      <c r="U47" s="14"/>
      <c r="V47" s="14"/>
      <c r="W47" s="14"/>
      <c r="X47" s="14"/>
      <c r="Y47" s="14"/>
      <c r="Z47" s="14"/>
      <c r="AA47" s="14"/>
      <c r="AB47" s="14"/>
      <c r="AC47" s="14"/>
      <c r="AD47" s="14"/>
      <c r="AE47" s="14"/>
      <c r="AF47" s="14"/>
      <c r="AG47" s="14"/>
      <c r="AH47" s="14"/>
      <c r="AI47" s="14"/>
      <c r="AJ47" s="14"/>
      <c r="AK47" s="14"/>
      <c r="AL47" s="14"/>
      <c r="AM47" s="14"/>
      <c r="AN47" s="14"/>
      <c r="AO47" s="14"/>
      <c r="AP47" s="14"/>
      <c r="AQ47" s="14"/>
      <c r="AR47" s="14"/>
      <c r="AS47" s="14"/>
    </row>
    <row r="48" spans="1:45" ht="25.5" x14ac:dyDescent="0.25">
      <c r="A48" s="14"/>
      <c r="B48" s="14"/>
      <c r="C48" s="112" t="s">
        <v>645</v>
      </c>
      <c r="D48" s="112" t="s">
        <v>124</v>
      </c>
      <c r="E48" s="112" t="s">
        <v>228</v>
      </c>
      <c r="F48" s="14"/>
      <c r="G48" s="14"/>
      <c r="H48" s="14"/>
      <c r="I48" s="112" t="s">
        <v>645</v>
      </c>
      <c r="J48" s="112" t="s">
        <v>124</v>
      </c>
      <c r="K48" s="112" t="s">
        <v>228</v>
      </c>
      <c r="L48" s="14"/>
      <c r="M48" s="14"/>
      <c r="N48" s="14"/>
      <c r="O48" s="14"/>
      <c r="P48" s="14"/>
      <c r="Q48" s="14"/>
      <c r="R48" s="14"/>
      <c r="S48" s="14"/>
      <c r="T48" s="14"/>
      <c r="U48" s="14"/>
      <c r="V48" s="14"/>
      <c r="W48" s="14"/>
      <c r="X48" s="14"/>
      <c r="Y48" s="14"/>
      <c r="Z48" s="14"/>
      <c r="AA48" s="14"/>
      <c r="AB48" s="14"/>
      <c r="AC48" s="14"/>
      <c r="AD48" s="14"/>
      <c r="AE48" s="14"/>
      <c r="AF48" s="14"/>
      <c r="AG48" s="14"/>
      <c r="AH48" s="14"/>
      <c r="AI48" s="14"/>
      <c r="AJ48" s="14"/>
      <c r="AK48" s="14"/>
      <c r="AL48" s="14"/>
      <c r="AM48" s="14"/>
      <c r="AN48" s="14"/>
      <c r="AO48" s="14"/>
      <c r="AP48" s="14"/>
      <c r="AQ48" s="14"/>
      <c r="AR48" s="14"/>
      <c r="AS48" s="14"/>
    </row>
    <row r="49" spans="1:45" x14ac:dyDescent="0.25">
      <c r="A49" s="14"/>
      <c r="B49" s="14"/>
      <c r="C49" s="111"/>
      <c r="D49" s="109">
        <v>1269</v>
      </c>
      <c r="E49" s="109">
        <v>555</v>
      </c>
      <c r="F49" s="14"/>
      <c r="G49" s="14"/>
      <c r="H49" s="14"/>
      <c r="I49" s="111"/>
      <c r="J49" s="109">
        <v>57</v>
      </c>
      <c r="K49" s="109">
        <v>555</v>
      </c>
      <c r="L49" s="14"/>
      <c r="M49" s="14"/>
      <c r="N49" s="14"/>
      <c r="O49" s="14"/>
      <c r="P49" s="14"/>
      <c r="Q49" s="14"/>
      <c r="R49" s="14"/>
      <c r="S49" s="14"/>
      <c r="T49" s="14"/>
      <c r="U49" s="14"/>
      <c r="V49" s="14"/>
      <c r="W49" s="14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4"/>
      <c r="AI49" s="14"/>
      <c r="AJ49" s="14"/>
      <c r="AK49" s="14"/>
      <c r="AL49" s="14"/>
      <c r="AM49" s="14"/>
      <c r="AN49" s="14"/>
      <c r="AO49" s="14"/>
      <c r="AP49" s="14"/>
      <c r="AQ49" s="14"/>
      <c r="AR49" s="14"/>
      <c r="AS49" s="14"/>
    </row>
    <row r="50" spans="1:45" x14ac:dyDescent="0.25">
      <c r="A50" s="14"/>
      <c r="B50" s="14"/>
      <c r="C50" s="14"/>
      <c r="D50" s="14"/>
      <c r="E50" s="14"/>
      <c r="F50" s="14"/>
      <c r="G50" s="14"/>
      <c r="H50" s="14"/>
      <c r="I50" s="14"/>
      <c r="J50" s="14"/>
      <c r="K50" s="14"/>
      <c r="L50" s="14"/>
      <c r="M50" s="14"/>
      <c r="N50" s="14"/>
      <c r="O50" s="14"/>
      <c r="P50" s="14"/>
      <c r="Q50" s="14"/>
      <c r="R50" s="14"/>
      <c r="S50" s="14"/>
      <c r="T50" s="14"/>
      <c r="U50" s="14"/>
      <c r="V50" s="14"/>
      <c r="W50" s="14"/>
      <c r="X50" s="14"/>
      <c r="Y50" s="14"/>
      <c r="Z50" s="14"/>
      <c r="AA50" s="14"/>
      <c r="AB50" s="14"/>
      <c r="AC50" s="14"/>
      <c r="AD50" s="14"/>
      <c r="AE50" s="14"/>
      <c r="AF50" s="14"/>
      <c r="AG50" s="14"/>
      <c r="AH50" s="14"/>
      <c r="AI50" s="14"/>
      <c r="AJ50" s="14"/>
      <c r="AK50" s="14"/>
      <c r="AL50" s="14"/>
      <c r="AM50" s="14"/>
      <c r="AN50" s="14"/>
      <c r="AO50" s="14"/>
      <c r="AP50" s="14"/>
      <c r="AQ50" s="14"/>
      <c r="AR50" s="14"/>
      <c r="AS50" s="14"/>
    </row>
    <row r="51" spans="1:45" x14ac:dyDescent="0.25">
      <c r="A51" s="14"/>
      <c r="B51" s="14"/>
      <c r="C51" s="14"/>
      <c r="D51" s="14"/>
      <c r="E51" s="14"/>
      <c r="F51" s="14"/>
      <c r="G51" s="14"/>
      <c r="H51" s="14"/>
      <c r="I51" s="14"/>
      <c r="J51" s="14"/>
      <c r="K51" s="14"/>
      <c r="L51" s="14"/>
      <c r="M51" s="14"/>
      <c r="N51" s="14"/>
      <c r="O51" s="14"/>
      <c r="P51" s="14"/>
      <c r="Q51" s="14"/>
      <c r="R51" s="14"/>
      <c r="S51" s="14"/>
      <c r="T51" s="14"/>
      <c r="U51" s="14"/>
      <c r="V51" s="14"/>
      <c r="W51" s="14"/>
      <c r="X51" s="14"/>
      <c r="Y51" s="14"/>
      <c r="Z51" s="14"/>
      <c r="AA51" s="14"/>
      <c r="AB51" s="14"/>
      <c r="AC51" s="14"/>
      <c r="AD51" s="14"/>
      <c r="AE51" s="14"/>
      <c r="AF51" s="14"/>
      <c r="AG51" s="14"/>
      <c r="AH51" s="14"/>
      <c r="AI51" s="14"/>
      <c r="AJ51" s="14"/>
      <c r="AK51" s="14"/>
      <c r="AL51" s="14"/>
      <c r="AM51" s="14"/>
      <c r="AN51" s="14"/>
      <c r="AO51" s="14"/>
      <c r="AP51" s="14"/>
      <c r="AQ51" s="14"/>
      <c r="AR51" s="14"/>
      <c r="AS51" s="14"/>
    </row>
    <row r="52" spans="1:45" x14ac:dyDescent="0.25">
      <c r="A52" s="14"/>
      <c r="B52" s="14"/>
      <c r="C52" s="14"/>
      <c r="D52" s="14"/>
      <c r="E52" s="14"/>
      <c r="F52" s="14"/>
      <c r="G52" s="14"/>
      <c r="H52" s="14"/>
      <c r="I52" s="14"/>
      <c r="J52" s="14"/>
      <c r="K52" s="14"/>
      <c r="L52" s="14"/>
      <c r="M52" s="14"/>
      <c r="N52" s="14"/>
      <c r="O52" s="14"/>
      <c r="P52" s="14"/>
      <c r="Q52" s="14"/>
      <c r="R52" s="14"/>
      <c r="S52" s="14"/>
      <c r="T52" s="14"/>
      <c r="U52" s="14"/>
      <c r="V52" s="14"/>
      <c r="W52" s="14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4"/>
      <c r="AI52" s="14"/>
      <c r="AJ52" s="14"/>
      <c r="AK52" s="14"/>
      <c r="AL52" s="14"/>
      <c r="AM52" s="14"/>
      <c r="AN52" s="14"/>
      <c r="AO52" s="14"/>
      <c r="AP52" s="14"/>
      <c r="AQ52" s="14"/>
      <c r="AR52" s="14"/>
      <c r="AS52" s="14"/>
    </row>
    <row r="53" spans="1:45" x14ac:dyDescent="0.25">
      <c r="A53" s="14"/>
      <c r="B53" s="14"/>
      <c r="C53" s="14"/>
      <c r="D53" s="14"/>
      <c r="E53" s="14"/>
      <c r="F53" s="14"/>
      <c r="G53" s="14"/>
      <c r="H53" s="14"/>
      <c r="I53" s="14"/>
      <c r="J53" s="14"/>
      <c r="K53" s="14"/>
      <c r="L53" s="14"/>
      <c r="M53" s="14"/>
      <c r="N53" s="14"/>
      <c r="O53" s="14"/>
      <c r="P53" s="14"/>
      <c r="Q53" s="14"/>
      <c r="R53" s="14"/>
      <c r="S53" s="14"/>
      <c r="T53" s="14"/>
      <c r="U53" s="14"/>
      <c r="V53" s="14"/>
      <c r="W53" s="14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4"/>
      <c r="AI53" s="14"/>
      <c r="AJ53" s="14"/>
      <c r="AK53" s="14"/>
      <c r="AL53" s="14"/>
      <c r="AM53" s="14"/>
      <c r="AN53" s="14"/>
      <c r="AO53" s="14"/>
      <c r="AP53" s="14"/>
      <c r="AQ53" s="14"/>
      <c r="AR53" s="14"/>
      <c r="AS53" s="14"/>
    </row>
    <row r="54" spans="1:45" x14ac:dyDescent="0.25">
      <c r="A54" s="14"/>
      <c r="B54" s="14"/>
      <c r="C54" s="14"/>
      <c r="D54" s="14"/>
      <c r="E54" s="14"/>
      <c r="F54" s="14"/>
      <c r="G54" s="14"/>
      <c r="H54" s="14"/>
      <c r="I54" s="14"/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4"/>
      <c r="U54" s="14"/>
      <c r="V54" s="14"/>
      <c r="W54" s="14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4"/>
      <c r="AI54" s="14"/>
      <c r="AJ54" s="14"/>
      <c r="AK54" s="14"/>
      <c r="AL54" s="14"/>
      <c r="AM54" s="14"/>
      <c r="AN54" s="14"/>
      <c r="AO54" s="14"/>
      <c r="AP54" s="14"/>
      <c r="AQ54" s="14"/>
      <c r="AR54" s="14"/>
      <c r="AS54" s="14"/>
    </row>
    <row r="55" spans="1:45" x14ac:dyDescent="0.25">
      <c r="A55" s="14"/>
      <c r="B55" s="14"/>
      <c r="C55" s="14"/>
      <c r="D55" s="14"/>
      <c r="E55" s="14"/>
      <c r="F55" s="14"/>
      <c r="G55" s="14"/>
      <c r="H55" s="14"/>
      <c r="I55" s="14"/>
      <c r="J55" s="14"/>
      <c r="K55" s="14"/>
      <c r="L55" s="14"/>
      <c r="M55" s="14"/>
      <c r="N55" s="14"/>
      <c r="O55" s="14"/>
      <c r="P55" s="14"/>
      <c r="Q55" s="14"/>
      <c r="R55" s="14"/>
      <c r="S55" s="14"/>
      <c r="T55" s="14"/>
      <c r="U55" s="14"/>
      <c r="V55" s="14"/>
      <c r="W55" s="14"/>
      <c r="X55" s="14"/>
      <c r="Y55" s="14"/>
      <c r="Z55" s="14"/>
      <c r="AA55" s="14"/>
      <c r="AB55" s="14"/>
      <c r="AC55" s="14"/>
      <c r="AD55" s="14"/>
      <c r="AE55" s="14"/>
      <c r="AF55" s="14"/>
      <c r="AG55" s="14"/>
      <c r="AH55" s="14"/>
      <c r="AI55" s="14"/>
      <c r="AJ55" s="14"/>
      <c r="AK55" s="14"/>
      <c r="AL55" s="14"/>
      <c r="AM55" s="14"/>
      <c r="AN55" s="14"/>
      <c r="AO55" s="14"/>
      <c r="AP55" s="14"/>
      <c r="AQ55" s="14"/>
      <c r="AR55" s="14"/>
      <c r="AS55" s="14"/>
    </row>
    <row r="56" spans="1:45" x14ac:dyDescent="0.25">
      <c r="A56" s="14"/>
      <c r="B56" s="14"/>
      <c r="C56" s="14"/>
      <c r="D56" s="14"/>
      <c r="E56" s="14"/>
      <c r="F56" s="14"/>
      <c r="G56" s="14"/>
      <c r="H56" s="14"/>
      <c r="I56" s="14"/>
      <c r="J56" s="14"/>
      <c r="K56" s="14"/>
      <c r="L56" s="14"/>
      <c r="M56" s="14"/>
      <c r="N56" s="14"/>
      <c r="O56" s="14"/>
      <c r="P56" s="14"/>
      <c r="Q56" s="14"/>
      <c r="R56" s="14"/>
      <c r="S56" s="14"/>
      <c r="T56" s="14"/>
      <c r="U56" s="14"/>
      <c r="V56" s="14"/>
      <c r="W56" s="14"/>
      <c r="X56" s="14"/>
      <c r="Y56" s="14"/>
      <c r="Z56" s="14"/>
      <c r="AA56" s="14"/>
      <c r="AB56" s="14"/>
      <c r="AC56" s="14"/>
      <c r="AD56" s="14"/>
      <c r="AE56" s="14"/>
      <c r="AF56" s="14"/>
      <c r="AG56" s="14"/>
      <c r="AH56" s="14"/>
      <c r="AI56" s="14"/>
      <c r="AJ56" s="14"/>
      <c r="AK56" s="14"/>
      <c r="AL56" s="14"/>
      <c r="AM56" s="14"/>
      <c r="AN56" s="14"/>
      <c r="AO56" s="14"/>
      <c r="AP56" s="14"/>
      <c r="AQ56" s="14"/>
      <c r="AR56" s="14"/>
      <c r="AS56" s="14"/>
    </row>
    <row r="57" spans="1:45" x14ac:dyDescent="0.25">
      <c r="A57" s="14"/>
      <c r="B57" s="14"/>
      <c r="C57" s="14"/>
      <c r="D57" s="14"/>
      <c r="E57" s="14"/>
      <c r="F57" s="14"/>
      <c r="G57" s="14"/>
      <c r="H57" s="14"/>
      <c r="I57" s="14"/>
      <c r="J57" s="14"/>
      <c r="K57" s="14"/>
      <c r="L57" s="14"/>
      <c r="M57" s="14"/>
      <c r="N57" s="14"/>
      <c r="O57" s="14"/>
      <c r="P57" s="14"/>
      <c r="Q57" s="14"/>
      <c r="R57" s="14"/>
      <c r="S57" s="14"/>
      <c r="T57" s="14"/>
      <c r="U57" s="14"/>
      <c r="V57" s="14"/>
      <c r="W57" s="14"/>
      <c r="X57" s="14"/>
      <c r="Y57" s="14"/>
      <c r="Z57" s="14"/>
      <c r="AA57" s="14"/>
      <c r="AB57" s="14"/>
      <c r="AC57" s="14"/>
      <c r="AD57" s="14"/>
      <c r="AE57" s="14"/>
      <c r="AF57" s="14"/>
      <c r="AG57" s="14"/>
      <c r="AH57" s="14"/>
      <c r="AI57" s="14"/>
      <c r="AJ57" s="14"/>
      <c r="AK57" s="14"/>
      <c r="AL57" s="14"/>
      <c r="AM57" s="14"/>
      <c r="AN57" s="14"/>
      <c r="AO57" s="14"/>
      <c r="AP57" s="14"/>
      <c r="AQ57" s="14"/>
      <c r="AR57" s="14"/>
      <c r="AS57" s="14"/>
    </row>
    <row r="58" spans="1:45" x14ac:dyDescent="0.25">
      <c r="A58" s="14"/>
      <c r="B58" s="14"/>
      <c r="C58" s="14"/>
      <c r="D58" s="14"/>
      <c r="E58" s="14"/>
      <c r="F58" s="14"/>
      <c r="G58" s="14"/>
      <c r="H58" s="14"/>
      <c r="I58" s="14"/>
      <c r="J58" s="14"/>
      <c r="K58" s="14"/>
      <c r="L58" s="14"/>
      <c r="M58" s="14"/>
      <c r="N58" s="14"/>
      <c r="O58" s="14"/>
      <c r="P58" s="14"/>
      <c r="Q58" s="14"/>
      <c r="R58" s="14"/>
      <c r="S58" s="14"/>
      <c r="T58" s="14"/>
      <c r="U58" s="14"/>
      <c r="V58" s="14"/>
      <c r="W58" s="14"/>
      <c r="X58" s="14"/>
      <c r="Y58" s="14"/>
      <c r="Z58" s="14"/>
      <c r="AA58" s="14"/>
      <c r="AB58" s="14"/>
      <c r="AC58" s="14"/>
      <c r="AD58" s="14"/>
      <c r="AE58" s="14"/>
      <c r="AF58" s="14"/>
      <c r="AG58" s="14"/>
      <c r="AH58" s="14"/>
      <c r="AI58" s="14"/>
      <c r="AJ58" s="14"/>
      <c r="AK58" s="14"/>
      <c r="AL58" s="14"/>
      <c r="AM58" s="14"/>
      <c r="AN58" s="14"/>
      <c r="AO58" s="14"/>
      <c r="AP58" s="14"/>
      <c r="AQ58" s="14"/>
      <c r="AR58" s="14"/>
      <c r="AS58" s="14"/>
    </row>
    <row r="59" spans="1:45" x14ac:dyDescent="0.25">
      <c r="A59" s="14"/>
      <c r="B59" s="14"/>
      <c r="C59" s="14"/>
      <c r="D59" s="14"/>
      <c r="E59" s="14"/>
      <c r="F59" s="14"/>
      <c r="G59" s="14"/>
      <c r="H59" s="14"/>
      <c r="I59" s="14"/>
      <c r="J59" s="14"/>
      <c r="K59" s="14"/>
      <c r="L59" s="14"/>
      <c r="M59" s="14"/>
      <c r="N59" s="14"/>
      <c r="O59" s="14"/>
      <c r="P59" s="14"/>
      <c r="Q59" s="14"/>
      <c r="R59" s="14"/>
      <c r="S59" s="14"/>
      <c r="T59" s="14"/>
      <c r="U59" s="14"/>
      <c r="V59" s="14"/>
      <c r="W59" s="14"/>
      <c r="X59" s="14"/>
      <c r="Y59" s="14"/>
      <c r="Z59" s="14"/>
      <c r="AA59" s="14"/>
      <c r="AB59" s="14"/>
      <c r="AC59" s="14"/>
      <c r="AD59" s="14"/>
      <c r="AE59" s="14"/>
      <c r="AF59" s="14"/>
      <c r="AG59" s="14"/>
      <c r="AH59" s="14"/>
      <c r="AI59" s="14"/>
      <c r="AJ59" s="14"/>
      <c r="AK59" s="14"/>
      <c r="AL59" s="14"/>
      <c r="AM59" s="14"/>
      <c r="AN59" s="14"/>
      <c r="AO59" s="14"/>
      <c r="AP59" s="14"/>
      <c r="AQ59" s="14"/>
      <c r="AR59" s="14"/>
      <c r="AS59" s="14"/>
    </row>
    <row r="60" spans="1:45" x14ac:dyDescent="0.25">
      <c r="A60" s="14"/>
      <c r="B60" s="14"/>
      <c r="C60" s="14"/>
      <c r="D60" s="14"/>
      <c r="E60" s="14"/>
      <c r="F60" s="14"/>
      <c r="G60" s="14"/>
      <c r="H60" s="14"/>
      <c r="I60" s="14"/>
      <c r="J60" s="14"/>
      <c r="K60" s="14"/>
      <c r="L60" s="14"/>
      <c r="M60" s="14"/>
      <c r="N60" s="14"/>
      <c r="O60" s="14"/>
      <c r="P60" s="14"/>
      <c r="Q60" s="14"/>
      <c r="R60" s="14"/>
      <c r="S60" s="14"/>
      <c r="T60" s="14"/>
      <c r="U60" s="14"/>
      <c r="V60" s="14"/>
      <c r="W60" s="14"/>
      <c r="X60" s="14"/>
      <c r="Y60" s="14"/>
      <c r="Z60" s="14"/>
      <c r="AA60" s="14"/>
      <c r="AB60" s="14"/>
      <c r="AC60" s="14"/>
      <c r="AD60" s="14"/>
      <c r="AE60" s="14"/>
      <c r="AF60" s="14"/>
      <c r="AG60" s="14"/>
      <c r="AH60" s="14"/>
      <c r="AI60" s="14"/>
      <c r="AJ60" s="14"/>
      <c r="AK60" s="14"/>
      <c r="AL60" s="14"/>
      <c r="AM60" s="14"/>
      <c r="AN60" s="14"/>
      <c r="AO60" s="14"/>
      <c r="AP60" s="14"/>
      <c r="AQ60" s="14"/>
      <c r="AR60" s="14"/>
      <c r="AS60" s="14"/>
    </row>
    <row r="61" spans="1:45" x14ac:dyDescent="0.25">
      <c r="A61" s="14"/>
      <c r="B61" s="14"/>
      <c r="C61" s="14"/>
      <c r="D61" s="14"/>
      <c r="E61" s="14"/>
      <c r="F61" s="14"/>
      <c r="G61" s="14"/>
      <c r="H61" s="14"/>
      <c r="I61" s="14"/>
      <c r="J61" s="14"/>
      <c r="K61" s="14"/>
      <c r="L61" s="14"/>
      <c r="M61" s="14"/>
      <c r="N61" s="14"/>
      <c r="O61" s="14"/>
      <c r="P61" s="14"/>
      <c r="Q61" s="14"/>
      <c r="R61" s="14"/>
      <c r="S61" s="14"/>
      <c r="T61" s="14"/>
      <c r="U61" s="14"/>
      <c r="V61" s="14"/>
      <c r="W61" s="14"/>
      <c r="X61" s="14"/>
      <c r="Y61" s="14"/>
      <c r="Z61" s="14"/>
      <c r="AA61" s="14"/>
      <c r="AB61" s="14"/>
      <c r="AC61" s="14"/>
      <c r="AD61" s="14"/>
      <c r="AE61" s="14"/>
      <c r="AF61" s="14"/>
      <c r="AG61" s="14"/>
      <c r="AH61" s="14"/>
      <c r="AI61" s="14"/>
      <c r="AJ61" s="14"/>
      <c r="AK61" s="14"/>
      <c r="AL61" s="14"/>
      <c r="AM61" s="14"/>
      <c r="AN61" s="14"/>
      <c r="AO61" s="14"/>
      <c r="AP61" s="14"/>
      <c r="AQ61" s="14"/>
      <c r="AR61" s="14"/>
      <c r="AS61" s="14"/>
    </row>
    <row r="62" spans="1:45" x14ac:dyDescent="0.25">
      <c r="A62" s="14"/>
      <c r="B62" s="14"/>
      <c r="F62" s="14"/>
      <c r="G62" s="14"/>
      <c r="H62" s="14"/>
      <c r="I62" s="14"/>
      <c r="J62" s="14"/>
      <c r="K62" s="14"/>
      <c r="L62" s="14"/>
      <c r="M62" s="14"/>
      <c r="N62" s="14"/>
      <c r="O62" s="14"/>
      <c r="P62" s="14"/>
      <c r="Q62" s="14"/>
      <c r="R62" s="14"/>
      <c r="S62" s="14"/>
      <c r="T62" s="14"/>
      <c r="U62" s="14"/>
      <c r="V62" s="14"/>
      <c r="W62" s="14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4"/>
      <c r="AI62" s="14"/>
      <c r="AJ62" s="14"/>
      <c r="AK62" s="14"/>
      <c r="AL62" s="14"/>
      <c r="AM62" s="14"/>
      <c r="AN62" s="14"/>
      <c r="AO62" s="14"/>
      <c r="AP62" s="14"/>
      <c r="AQ62" s="14"/>
      <c r="AR62" s="14"/>
      <c r="AS62" s="14"/>
    </row>
    <row r="63" spans="1:45" x14ac:dyDescent="0.25">
      <c r="A63" s="14"/>
      <c r="B63" s="14"/>
      <c r="F63" s="14"/>
      <c r="G63" s="14"/>
      <c r="H63" s="14"/>
      <c r="I63" s="14"/>
      <c r="J63" s="14"/>
      <c r="K63" s="14"/>
      <c r="L63" s="14"/>
      <c r="M63" s="14"/>
      <c r="N63" s="14"/>
      <c r="O63" s="14"/>
      <c r="P63" s="14"/>
      <c r="Q63" s="14"/>
      <c r="R63" s="14"/>
      <c r="S63" s="14"/>
      <c r="T63" s="14"/>
      <c r="U63" s="14"/>
      <c r="V63" s="14"/>
      <c r="W63" s="14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4"/>
      <c r="AI63" s="14"/>
      <c r="AJ63" s="14"/>
      <c r="AK63" s="14"/>
      <c r="AL63" s="14"/>
      <c r="AM63" s="14"/>
      <c r="AN63" s="14"/>
      <c r="AO63" s="14"/>
      <c r="AP63" s="14"/>
      <c r="AQ63" s="14"/>
      <c r="AR63" s="14"/>
      <c r="AS63" s="14"/>
    </row>
    <row r="64" spans="1:45" x14ac:dyDescent="0.25">
      <c r="A64" s="14"/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4"/>
      <c r="AH64" s="14"/>
      <c r="AI64" s="14"/>
      <c r="AJ64" s="14"/>
      <c r="AK64" s="14"/>
      <c r="AL64" s="14"/>
      <c r="AM64" s="14"/>
      <c r="AN64" s="14"/>
      <c r="AO64" s="14"/>
      <c r="AP64" s="14"/>
      <c r="AQ64" s="14"/>
      <c r="AR64" s="14"/>
      <c r="AS64" s="14"/>
    </row>
    <row r="65" spans="1:45" x14ac:dyDescent="0.25">
      <c r="A65" s="14"/>
      <c r="B65" s="14"/>
      <c r="C65" s="14"/>
      <c r="D65" s="14"/>
      <c r="E65" s="14"/>
      <c r="F65" s="14"/>
      <c r="G65" s="14"/>
      <c r="H65" s="14"/>
      <c r="I65" s="14"/>
      <c r="J65" s="14"/>
      <c r="K65" s="14"/>
      <c r="L65" s="14"/>
      <c r="M65" s="14"/>
      <c r="N65" s="14"/>
      <c r="O65" s="14"/>
      <c r="P65" s="14"/>
      <c r="Q65" s="14"/>
      <c r="R65" s="14"/>
      <c r="S65" s="14"/>
      <c r="T65" s="14"/>
      <c r="U65" s="14"/>
      <c r="V65" s="14"/>
      <c r="W65" s="14"/>
      <c r="X65" s="14"/>
      <c r="Y65" s="14"/>
      <c r="Z65" s="14"/>
      <c r="AA65" s="14"/>
      <c r="AB65" s="14"/>
      <c r="AC65" s="14"/>
      <c r="AD65" s="14"/>
      <c r="AE65" s="14"/>
      <c r="AF65" s="14"/>
      <c r="AG65" s="14"/>
      <c r="AH65" s="14"/>
      <c r="AI65" s="14"/>
      <c r="AJ65" s="14"/>
      <c r="AK65" s="14"/>
      <c r="AL65" s="14"/>
      <c r="AM65" s="14"/>
      <c r="AN65" s="14"/>
      <c r="AO65" s="14"/>
      <c r="AP65" s="14"/>
      <c r="AQ65" s="14"/>
      <c r="AR65" s="14"/>
      <c r="AS65" s="14"/>
    </row>
    <row r="66" spans="1:45" x14ac:dyDescent="0.25">
      <c r="A66" s="14"/>
      <c r="B66" s="14"/>
      <c r="C66" s="14"/>
      <c r="D66" s="14"/>
      <c r="E66" s="14"/>
      <c r="F66" s="14"/>
      <c r="G66" s="14"/>
      <c r="H66" s="14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4"/>
      <c r="U66" s="14"/>
      <c r="V66" s="14"/>
      <c r="W66" s="14"/>
      <c r="X66" s="14"/>
      <c r="Y66" s="14"/>
      <c r="Z66" s="14"/>
      <c r="AA66" s="14"/>
      <c r="AB66" s="14"/>
      <c r="AC66" s="14"/>
      <c r="AD66" s="14"/>
      <c r="AE66" s="14"/>
      <c r="AF66" s="14"/>
      <c r="AG66" s="14"/>
      <c r="AH66" s="14"/>
      <c r="AI66" s="14"/>
      <c r="AJ66" s="14"/>
      <c r="AK66" s="14"/>
      <c r="AL66" s="14"/>
      <c r="AM66" s="14"/>
      <c r="AN66" s="14"/>
      <c r="AO66" s="14"/>
      <c r="AP66" s="14"/>
      <c r="AQ66" s="14"/>
      <c r="AR66" s="14"/>
      <c r="AS66" s="14"/>
    </row>
    <row r="67" spans="1:45" x14ac:dyDescent="0.25">
      <c r="A67" s="14"/>
      <c r="B67" s="14"/>
      <c r="C67" s="14"/>
      <c r="D67" s="14"/>
      <c r="E67" s="14"/>
      <c r="F67" s="14"/>
      <c r="G67" s="14"/>
      <c r="H67" s="14"/>
      <c r="I67" s="14"/>
      <c r="J67" s="14"/>
      <c r="K67" s="14"/>
      <c r="L67" s="14"/>
      <c r="M67" s="14"/>
      <c r="N67" s="14"/>
      <c r="O67" s="14"/>
      <c r="P67" s="14"/>
      <c r="Q67" s="14"/>
      <c r="R67" s="14"/>
      <c r="S67" s="14"/>
      <c r="T67" s="14"/>
      <c r="U67" s="14"/>
      <c r="V67" s="14"/>
      <c r="W67" s="14"/>
      <c r="X67" s="14"/>
      <c r="Y67" s="14"/>
      <c r="Z67" s="14"/>
      <c r="AA67" s="14"/>
      <c r="AB67" s="14"/>
      <c r="AC67" s="14"/>
      <c r="AD67" s="14"/>
      <c r="AE67" s="14"/>
      <c r="AF67" s="14"/>
      <c r="AG67" s="14"/>
      <c r="AH67" s="14"/>
      <c r="AI67" s="14"/>
      <c r="AJ67" s="14"/>
      <c r="AK67" s="14"/>
      <c r="AL67" s="14"/>
      <c r="AM67" s="14"/>
      <c r="AN67" s="14"/>
      <c r="AO67" s="14"/>
      <c r="AP67" s="14"/>
      <c r="AQ67" s="14"/>
      <c r="AR67" s="14"/>
      <c r="AS67" s="14"/>
    </row>
    <row r="68" spans="1:45" x14ac:dyDescent="0.25">
      <c r="A68" s="14"/>
      <c r="B68" s="14"/>
      <c r="C68" s="14"/>
      <c r="D68" s="14"/>
      <c r="E68" s="14"/>
      <c r="F68" s="14"/>
      <c r="G68" s="14"/>
      <c r="H68" s="14"/>
      <c r="I68" s="14"/>
      <c r="J68" s="14"/>
      <c r="K68" s="14"/>
      <c r="L68" s="14"/>
      <c r="M68" s="14"/>
      <c r="N68" s="14"/>
      <c r="O68" s="14"/>
      <c r="P68" s="14"/>
      <c r="Q68" s="14"/>
      <c r="R68" s="14"/>
      <c r="S68" s="14"/>
      <c r="T68" s="14"/>
      <c r="U68" s="14"/>
      <c r="V68" s="14"/>
      <c r="W68" s="14"/>
      <c r="X68" s="14"/>
      <c r="Y68" s="14"/>
      <c r="Z68" s="14"/>
      <c r="AA68" s="14"/>
      <c r="AB68" s="14"/>
      <c r="AC68" s="14"/>
      <c r="AD68" s="14"/>
      <c r="AE68" s="14"/>
      <c r="AF68" s="14"/>
      <c r="AG68" s="14"/>
      <c r="AH68" s="14"/>
      <c r="AI68" s="14"/>
      <c r="AJ68" s="14"/>
      <c r="AK68" s="14"/>
      <c r="AL68" s="14"/>
      <c r="AM68" s="14"/>
      <c r="AN68" s="14"/>
      <c r="AO68" s="14"/>
      <c r="AP68" s="14"/>
      <c r="AQ68" s="14"/>
      <c r="AR68" s="14"/>
      <c r="AS68" s="14"/>
    </row>
    <row r="69" spans="1:45" x14ac:dyDescent="0.25">
      <c r="A69" s="14"/>
      <c r="B69" s="14"/>
      <c r="C69" s="14"/>
      <c r="D69" s="14"/>
      <c r="E69" s="14"/>
      <c r="F69" s="14"/>
      <c r="G69" s="14"/>
      <c r="H69" s="14"/>
      <c r="I69" s="14"/>
      <c r="J69" s="14"/>
      <c r="K69" s="14"/>
      <c r="L69" s="14"/>
      <c r="M69" s="14"/>
      <c r="N69" s="14"/>
      <c r="O69" s="14"/>
      <c r="P69" s="14"/>
      <c r="Q69" s="14"/>
      <c r="R69" s="14"/>
      <c r="S69" s="14"/>
      <c r="T69" s="14"/>
      <c r="U69" s="14"/>
      <c r="V69" s="14"/>
      <c r="W69" s="14"/>
      <c r="X69" s="14"/>
      <c r="Y69" s="14"/>
      <c r="Z69" s="14"/>
      <c r="AA69" s="14"/>
      <c r="AB69" s="14"/>
      <c r="AC69" s="14"/>
      <c r="AD69" s="14"/>
      <c r="AE69" s="14"/>
      <c r="AF69" s="14"/>
      <c r="AG69" s="14"/>
      <c r="AH69" s="14"/>
      <c r="AI69" s="14"/>
      <c r="AJ69" s="14"/>
      <c r="AK69" s="14"/>
      <c r="AL69" s="14"/>
      <c r="AM69" s="14"/>
      <c r="AN69" s="14"/>
      <c r="AO69" s="14"/>
      <c r="AP69" s="14"/>
      <c r="AQ69" s="14"/>
      <c r="AR69" s="14"/>
      <c r="AS69" s="14"/>
    </row>
    <row r="70" spans="1:45" x14ac:dyDescent="0.25">
      <c r="A70" s="14"/>
      <c r="B70" s="14"/>
      <c r="C70" s="14"/>
      <c r="D70" s="14"/>
      <c r="E70" s="14"/>
      <c r="F70" s="14"/>
      <c r="G70" s="14"/>
      <c r="H70" s="14"/>
      <c r="I70" s="14"/>
      <c r="J70" s="14"/>
      <c r="K70" s="14"/>
      <c r="L70" s="14"/>
      <c r="M70" s="14"/>
      <c r="N70" s="14"/>
      <c r="O70" s="14"/>
      <c r="P70" s="14"/>
      <c r="Q70" s="14"/>
      <c r="R70" s="14"/>
      <c r="S70" s="14"/>
      <c r="T70" s="14"/>
      <c r="U70" s="14"/>
      <c r="V70" s="14"/>
      <c r="W70" s="14"/>
      <c r="X70" s="14"/>
      <c r="Y70" s="14"/>
      <c r="Z70" s="14"/>
      <c r="AA70" s="14"/>
      <c r="AB70" s="14"/>
      <c r="AC70" s="14"/>
      <c r="AD70" s="14"/>
      <c r="AE70" s="14"/>
      <c r="AF70" s="14"/>
      <c r="AG70" s="14"/>
      <c r="AH70" s="14"/>
      <c r="AI70" s="14"/>
      <c r="AJ70" s="14"/>
      <c r="AK70" s="14"/>
      <c r="AL70" s="14"/>
      <c r="AM70" s="14"/>
      <c r="AN70" s="14"/>
      <c r="AO70" s="14"/>
      <c r="AP70" s="14"/>
      <c r="AQ70" s="14"/>
      <c r="AR70" s="14"/>
      <c r="AS70" s="14"/>
    </row>
    <row r="71" spans="1:45" x14ac:dyDescent="0.25">
      <c r="A71" s="14"/>
      <c r="B71" s="14"/>
      <c r="C71" s="14"/>
      <c r="D71" s="14"/>
      <c r="E71" s="14"/>
      <c r="F71" s="14"/>
      <c r="G71" s="14"/>
      <c r="H71" s="14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4"/>
      <c r="U71" s="14"/>
      <c r="V71" s="14"/>
      <c r="W71" s="14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4"/>
      <c r="AI71" s="14"/>
      <c r="AJ71" s="14"/>
      <c r="AK71" s="14"/>
      <c r="AL71" s="14"/>
      <c r="AM71" s="14"/>
      <c r="AN71" s="14"/>
      <c r="AO71" s="14"/>
      <c r="AP71" s="14"/>
      <c r="AQ71" s="14"/>
      <c r="AR71" s="14"/>
      <c r="AS71" s="14"/>
    </row>
    <row r="72" spans="1:45" x14ac:dyDescent="0.25">
      <c r="A72" s="14"/>
      <c r="B72" s="14"/>
      <c r="C72" s="14"/>
      <c r="D72" s="14"/>
      <c r="E72" s="14"/>
      <c r="F72" s="14"/>
      <c r="G72" s="14"/>
      <c r="H72" s="14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4"/>
      <c r="U72" s="14"/>
      <c r="V72" s="14"/>
      <c r="W72" s="14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4"/>
      <c r="AI72" s="14"/>
      <c r="AJ72" s="14"/>
      <c r="AK72" s="14"/>
      <c r="AL72" s="14"/>
      <c r="AM72" s="14"/>
      <c r="AN72" s="14"/>
      <c r="AO72" s="14"/>
      <c r="AP72" s="14"/>
      <c r="AQ72" s="14"/>
      <c r="AR72" s="14"/>
      <c r="AS72" s="14"/>
    </row>
    <row r="73" spans="1:45" x14ac:dyDescent="0.25">
      <c r="A73" s="14"/>
      <c r="B73" s="14"/>
      <c r="C73" s="14"/>
      <c r="D73" s="14"/>
      <c r="E73" s="14"/>
      <c r="F73" s="14"/>
      <c r="G73" s="14"/>
      <c r="H73" s="14"/>
      <c r="I73" s="14"/>
      <c r="J73" s="14"/>
      <c r="K73" s="14"/>
      <c r="L73" s="14"/>
      <c r="M73" s="14"/>
      <c r="N73" s="14"/>
      <c r="O73" s="14"/>
      <c r="P73" s="14"/>
      <c r="Q73" s="14"/>
      <c r="R73" s="14"/>
      <c r="S73" s="14"/>
      <c r="T73" s="14"/>
      <c r="U73" s="14"/>
      <c r="V73" s="14"/>
      <c r="W73" s="14"/>
      <c r="X73" s="14"/>
      <c r="Y73" s="14"/>
      <c r="Z73" s="14"/>
      <c r="AA73" s="14"/>
      <c r="AB73" s="14"/>
      <c r="AC73" s="14"/>
      <c r="AD73" s="14"/>
      <c r="AE73" s="14"/>
      <c r="AF73" s="14"/>
      <c r="AG73" s="14"/>
      <c r="AH73" s="14"/>
      <c r="AI73" s="14"/>
      <c r="AJ73" s="14"/>
      <c r="AK73" s="14"/>
      <c r="AL73" s="14"/>
      <c r="AM73" s="14"/>
      <c r="AN73" s="14"/>
      <c r="AO73" s="14"/>
      <c r="AP73" s="14"/>
      <c r="AQ73" s="14"/>
      <c r="AR73" s="14"/>
      <c r="AS73" s="14"/>
    </row>
    <row r="74" spans="1:45" x14ac:dyDescent="0.25">
      <c r="A74" s="14"/>
      <c r="B74" s="14"/>
      <c r="C74" s="14"/>
      <c r="D74" s="14"/>
      <c r="E74" s="14"/>
      <c r="F74" s="14"/>
      <c r="G74" s="14"/>
      <c r="H74" s="14"/>
      <c r="I74" s="14"/>
      <c r="J74" s="14"/>
      <c r="K74" s="14"/>
      <c r="L74" s="14"/>
      <c r="M74" s="14"/>
      <c r="N74" s="14"/>
      <c r="O74" s="14"/>
      <c r="P74" s="14"/>
      <c r="Q74" s="14"/>
      <c r="R74" s="14"/>
      <c r="S74" s="14"/>
      <c r="T74" s="14"/>
      <c r="U74" s="14"/>
      <c r="V74" s="14"/>
      <c r="W74" s="14"/>
      <c r="X74" s="14"/>
      <c r="Y74" s="14"/>
      <c r="Z74" s="14"/>
      <c r="AA74" s="14"/>
      <c r="AB74" s="14"/>
      <c r="AC74" s="14"/>
      <c r="AD74" s="14"/>
      <c r="AE74" s="14"/>
      <c r="AF74" s="14"/>
      <c r="AG74" s="14"/>
      <c r="AH74" s="14"/>
      <c r="AI74" s="14"/>
      <c r="AJ74" s="14"/>
      <c r="AK74" s="14"/>
      <c r="AL74" s="14"/>
      <c r="AM74" s="14"/>
      <c r="AN74" s="14"/>
      <c r="AO74" s="14"/>
      <c r="AP74" s="14"/>
      <c r="AQ74" s="14"/>
      <c r="AR74" s="14"/>
      <c r="AS74" s="14"/>
    </row>
    <row r="75" spans="1:45" x14ac:dyDescent="0.25">
      <c r="A75" s="14"/>
      <c r="B75" s="14"/>
      <c r="K75" s="14"/>
      <c r="L75" s="14"/>
      <c r="M75" s="14"/>
      <c r="N75" s="14"/>
      <c r="O75" s="14"/>
      <c r="P75" s="14"/>
      <c r="Q75" s="14"/>
      <c r="R75" s="14"/>
      <c r="S75" s="14"/>
      <c r="T75" s="14"/>
      <c r="U75" s="14"/>
      <c r="V75" s="14"/>
      <c r="W75" s="14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4"/>
      <c r="AI75" s="14"/>
      <c r="AJ75" s="14"/>
      <c r="AK75" s="14"/>
      <c r="AL75" s="14"/>
      <c r="AM75" s="14"/>
      <c r="AN75" s="14"/>
      <c r="AO75" s="14"/>
      <c r="AP75" s="14"/>
      <c r="AQ75" s="14"/>
      <c r="AR75" s="14"/>
      <c r="AS75" s="14"/>
    </row>
    <row r="76" spans="1:45" x14ac:dyDescent="0.25">
      <c r="A76" s="14"/>
      <c r="B76" s="14"/>
      <c r="L76" s="14"/>
      <c r="M76" s="14"/>
      <c r="N76" s="14"/>
      <c r="O76" s="14"/>
      <c r="P76" s="14"/>
      <c r="Q76" s="14"/>
      <c r="R76" s="14"/>
      <c r="S76" s="14"/>
      <c r="T76" s="14"/>
      <c r="U76" s="14"/>
      <c r="V76" s="14"/>
      <c r="W76" s="14"/>
      <c r="X76" s="14"/>
      <c r="Y76" s="14"/>
      <c r="Z76" s="14"/>
      <c r="AA76" s="14"/>
      <c r="AB76" s="14"/>
      <c r="AC76" s="14"/>
      <c r="AD76" s="14"/>
      <c r="AE76" s="14"/>
      <c r="AF76" s="14"/>
      <c r="AG76" s="14"/>
      <c r="AH76" s="14"/>
      <c r="AI76" s="14"/>
      <c r="AJ76" s="14"/>
      <c r="AK76" s="14"/>
      <c r="AL76" s="14"/>
      <c r="AM76" s="14"/>
      <c r="AN76" s="14"/>
      <c r="AO76" s="14"/>
      <c r="AP76" s="14"/>
      <c r="AQ76" s="14"/>
      <c r="AR76" s="14"/>
      <c r="AS76" s="14"/>
    </row>
    <row r="77" spans="1:45" x14ac:dyDescent="0.25">
      <c r="A77" s="14"/>
      <c r="B77" s="14"/>
      <c r="M77" s="14"/>
      <c r="N77" s="14"/>
      <c r="O77" s="14"/>
      <c r="P77" s="14"/>
      <c r="Q77" s="14"/>
      <c r="R77" s="14"/>
      <c r="S77" s="14"/>
      <c r="T77" s="14"/>
      <c r="U77" s="14"/>
      <c r="V77" s="14"/>
      <c r="W77" s="14"/>
      <c r="X77" s="14"/>
      <c r="Y77" s="14"/>
      <c r="Z77" s="14"/>
      <c r="AA77" s="14"/>
      <c r="AB77" s="14"/>
      <c r="AC77" s="14"/>
      <c r="AD77" s="14"/>
      <c r="AE77" s="14"/>
      <c r="AF77" s="14"/>
      <c r="AG77" s="14"/>
      <c r="AH77" s="14"/>
      <c r="AI77" s="14"/>
      <c r="AJ77" s="14"/>
      <c r="AK77" s="14"/>
      <c r="AL77" s="14"/>
      <c r="AM77" s="14"/>
      <c r="AN77" s="14"/>
      <c r="AO77" s="14"/>
      <c r="AP77" s="14"/>
      <c r="AQ77" s="14"/>
      <c r="AR77" s="14"/>
      <c r="AS77" s="14"/>
    </row>
  </sheetData>
  <mergeCells count="3">
    <mergeCell ref="X6:X7"/>
    <mergeCell ref="Y6:Z6"/>
    <mergeCell ref="AA6:AB6"/>
  </mergeCell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:S47"/>
  <sheetViews>
    <sheetView zoomScale="70" zoomScaleNormal="70" workbookViewId="0">
      <selection activeCell="S40" sqref="S40"/>
    </sheetView>
  </sheetViews>
  <sheetFormatPr defaultRowHeight="15" x14ac:dyDescent="0.25"/>
  <cols>
    <col min="1" max="2" width="9.140625" style="14"/>
    <col min="3" max="3" width="27.42578125" style="14" customWidth="1"/>
    <col min="4" max="7" width="8.85546875" style="14"/>
    <col min="8" max="8" width="38" style="14" customWidth="1"/>
    <col min="9" max="12" width="8.85546875" style="14"/>
    <col min="13" max="13" width="29.7109375" style="14" customWidth="1"/>
    <col min="14" max="17" width="8.85546875" style="14"/>
    <col min="18" max="18" width="27.85546875" style="14" customWidth="1"/>
    <col min="19" max="19" width="9.140625" style="14"/>
  </cols>
  <sheetData>
    <row r="4" spans="3:6" ht="38.25" x14ac:dyDescent="0.25">
      <c r="C4" s="112" t="s">
        <v>646</v>
      </c>
      <c r="D4" s="181" t="s">
        <v>124</v>
      </c>
      <c r="E4" s="181" t="s">
        <v>228</v>
      </c>
      <c r="F4" s="181" t="s">
        <v>647</v>
      </c>
    </row>
    <row r="5" spans="3:6" x14ac:dyDescent="0.25">
      <c r="C5" s="136" t="s">
        <v>648</v>
      </c>
      <c r="D5" s="109">
        <v>1530816</v>
      </c>
      <c r="E5" s="109"/>
      <c r="F5" s="115">
        <f>(E5-D5)/D5</f>
        <v>-1</v>
      </c>
    </row>
    <row r="6" spans="3:6" ht="25.5" x14ac:dyDescent="0.25">
      <c r="C6" s="138" t="s">
        <v>649</v>
      </c>
      <c r="D6" s="109">
        <v>1510457</v>
      </c>
      <c r="E6" s="109"/>
      <c r="F6" s="115">
        <f>(E6-D6)/D6</f>
        <v>-1</v>
      </c>
    </row>
    <row r="16" spans="3:6" x14ac:dyDescent="0.25">
      <c r="C16" s="180" t="s">
        <v>650</v>
      </c>
      <c r="D16" s="181" t="s">
        <v>124</v>
      </c>
      <c r="E16" s="181" t="s">
        <v>228</v>
      </c>
      <c r="F16" s="181" t="s">
        <v>647</v>
      </c>
    </row>
    <row r="17" spans="3:6" ht="25.5" x14ac:dyDescent="0.25">
      <c r="C17" s="138" t="s">
        <v>651</v>
      </c>
      <c r="D17" s="109">
        <v>1921</v>
      </c>
      <c r="E17" s="109"/>
      <c r="F17" s="115">
        <f>(E17-D17)/D17</f>
        <v>-1</v>
      </c>
    </row>
    <row r="18" spans="3:6" ht="38.25" x14ac:dyDescent="0.25">
      <c r="C18" s="138" t="s">
        <v>652</v>
      </c>
      <c r="D18" s="109">
        <v>81</v>
      </c>
      <c r="E18" s="109"/>
      <c r="F18" s="115">
        <f>(E18-D18)/D18</f>
        <v>-1</v>
      </c>
    </row>
    <row r="19" spans="3:6" ht="25.5" x14ac:dyDescent="0.25">
      <c r="C19" s="138" t="s">
        <v>653</v>
      </c>
      <c r="D19" s="109">
        <v>3287</v>
      </c>
      <c r="E19" s="109"/>
      <c r="F19" s="115">
        <f>(E19-D19)/D19</f>
        <v>-1</v>
      </c>
    </row>
    <row r="20" spans="3:6" x14ac:dyDescent="0.25">
      <c r="C20" s="136" t="s">
        <v>654</v>
      </c>
      <c r="D20" s="109">
        <v>1005</v>
      </c>
      <c r="E20" s="109"/>
      <c r="F20" s="115">
        <f>(E20-D20)/D20</f>
        <v>-1</v>
      </c>
    </row>
    <row r="21" spans="3:6" x14ac:dyDescent="0.25">
      <c r="C21" s="136" t="s">
        <v>655</v>
      </c>
      <c r="D21" s="109">
        <v>104</v>
      </c>
      <c r="E21" s="109"/>
      <c r="F21" s="115">
        <f>(E21-D21)/D21</f>
        <v>-1</v>
      </c>
    </row>
    <row r="29" spans="3:6" ht="25.5" x14ac:dyDescent="0.25">
      <c r="C29" s="112" t="s">
        <v>656</v>
      </c>
      <c r="D29" s="181" t="s">
        <v>124</v>
      </c>
      <c r="E29" s="181" t="s">
        <v>228</v>
      </c>
      <c r="F29" s="181" t="s">
        <v>647</v>
      </c>
    </row>
    <row r="30" spans="3:6" ht="25.5" x14ac:dyDescent="0.25">
      <c r="C30" s="138" t="s">
        <v>657</v>
      </c>
      <c r="D30" s="285">
        <v>79521</v>
      </c>
      <c r="E30" s="109"/>
      <c r="F30" s="115">
        <f>(E30-D30)/D30</f>
        <v>-1</v>
      </c>
    </row>
    <row r="31" spans="3:6" ht="38.25" x14ac:dyDescent="0.25">
      <c r="C31" s="138" t="s">
        <v>658</v>
      </c>
      <c r="D31" s="109">
        <v>67372</v>
      </c>
      <c r="E31" s="109"/>
      <c r="F31" s="115">
        <f>(E31-D31)/D31</f>
        <v>-1</v>
      </c>
    </row>
    <row r="32" spans="3:6" ht="25.5" x14ac:dyDescent="0.25">
      <c r="C32" s="138" t="s">
        <v>659</v>
      </c>
      <c r="D32" s="109">
        <v>55606</v>
      </c>
      <c r="E32" s="109"/>
      <c r="F32" s="115">
        <f>(E32-D32)/D32</f>
        <v>-1</v>
      </c>
    </row>
    <row r="44" spans="3:6" ht="38.25" x14ac:dyDescent="0.25">
      <c r="C44" s="112" t="s">
        <v>660</v>
      </c>
      <c r="D44" s="181" t="s">
        <v>124</v>
      </c>
      <c r="E44" s="181" t="s">
        <v>228</v>
      </c>
      <c r="F44" s="181" t="s">
        <v>647</v>
      </c>
    </row>
    <row r="45" spans="3:6" x14ac:dyDescent="0.25">
      <c r="C45" s="121" t="s">
        <v>661</v>
      </c>
      <c r="D45" s="109">
        <v>30907</v>
      </c>
      <c r="E45" s="109"/>
      <c r="F45" s="115">
        <f>(E45-D45)/D45</f>
        <v>-1</v>
      </c>
    </row>
    <row r="46" spans="3:6" x14ac:dyDescent="0.25">
      <c r="C46" s="121" t="s">
        <v>662</v>
      </c>
      <c r="D46" s="109">
        <v>26397</v>
      </c>
      <c r="E46" s="109"/>
      <c r="F46" s="115">
        <f>(E46-D46)/D46</f>
        <v>-1</v>
      </c>
    </row>
    <row r="47" spans="3:6" ht="25.5" x14ac:dyDescent="0.25">
      <c r="C47" s="182" t="s">
        <v>663</v>
      </c>
      <c r="D47" s="109">
        <v>88275</v>
      </c>
      <c r="E47" s="109"/>
      <c r="F47" s="115">
        <f>(E47-D47)/D47</f>
        <v>-1</v>
      </c>
    </row>
  </sheetData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E10"/>
  <sheetViews>
    <sheetView workbookViewId="0">
      <selection activeCell="J21" sqref="J21"/>
    </sheetView>
  </sheetViews>
  <sheetFormatPr defaultRowHeight="15" x14ac:dyDescent="0.25"/>
  <cols>
    <col min="3" max="3" width="71.85546875" customWidth="1"/>
    <col min="4" max="5" width="12.7109375" customWidth="1"/>
  </cols>
  <sheetData>
    <row r="3" spans="3:5" x14ac:dyDescent="0.25">
      <c r="C3" s="113" t="s">
        <v>664</v>
      </c>
      <c r="D3" s="181" t="s">
        <v>665</v>
      </c>
      <c r="E3" s="181" t="s">
        <v>228</v>
      </c>
    </row>
    <row r="4" spans="3:5" ht="25.5" x14ac:dyDescent="0.25">
      <c r="C4" s="138" t="s">
        <v>666</v>
      </c>
      <c r="D4" s="109">
        <v>8</v>
      </c>
      <c r="E4" s="109"/>
    </row>
    <row r="5" spans="3:5" ht="26.25" x14ac:dyDescent="0.25">
      <c r="C5" s="135" t="s">
        <v>667</v>
      </c>
      <c r="D5" s="109">
        <v>5</v>
      </c>
      <c r="E5" s="109"/>
    </row>
    <row r="6" spans="3:5" ht="39" x14ac:dyDescent="0.25">
      <c r="C6" s="135" t="s">
        <v>668</v>
      </c>
      <c r="D6" s="109">
        <v>16</v>
      </c>
      <c r="E6" s="109"/>
    </row>
    <row r="7" spans="3:5" ht="26.25" x14ac:dyDescent="0.25">
      <c r="C7" s="135" t="s">
        <v>669</v>
      </c>
      <c r="D7" s="109">
        <v>4</v>
      </c>
      <c r="E7" s="109"/>
    </row>
    <row r="8" spans="3:5" x14ac:dyDescent="0.25">
      <c r="C8" s="135" t="s">
        <v>670</v>
      </c>
      <c r="D8" s="109">
        <v>1</v>
      </c>
      <c r="E8" s="109"/>
    </row>
    <row r="9" spans="3:5" ht="26.25" x14ac:dyDescent="0.25">
      <c r="C9" s="135" t="s">
        <v>671</v>
      </c>
      <c r="D9" s="109">
        <v>1</v>
      </c>
      <c r="E9" s="109"/>
    </row>
    <row r="10" spans="3:5" x14ac:dyDescent="0.25">
      <c r="C10" s="180" t="s">
        <v>672</v>
      </c>
      <c r="D10" s="181">
        <f>SUM(D4:D9)</f>
        <v>35</v>
      </c>
      <c r="E10" s="181">
        <f>SUM(E4:E9)</f>
        <v>0</v>
      </c>
    </row>
  </sheetData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E37"/>
  <sheetViews>
    <sheetView topLeftCell="A10" zoomScale="80" zoomScaleNormal="80" workbookViewId="0">
      <selection activeCell="L39" sqref="L39"/>
    </sheetView>
  </sheetViews>
  <sheetFormatPr defaultRowHeight="15" x14ac:dyDescent="0.25"/>
  <cols>
    <col min="3" max="3" width="35.28515625" customWidth="1"/>
    <col min="13" max="13" width="22" customWidth="1"/>
    <col min="19" max="19" width="18.5703125" customWidth="1"/>
    <col min="22" max="22" width="46.140625" customWidth="1"/>
  </cols>
  <sheetData>
    <row r="3" spans="3:5" x14ac:dyDescent="0.25">
      <c r="C3" s="113" t="s">
        <v>491</v>
      </c>
      <c r="D3" s="137" t="s">
        <v>124</v>
      </c>
      <c r="E3" s="137" t="s">
        <v>228</v>
      </c>
    </row>
    <row r="4" spans="3:5" ht="26.25" customHeight="1" x14ac:dyDescent="0.25">
      <c r="C4" s="136"/>
      <c r="D4" s="109">
        <v>1</v>
      </c>
      <c r="E4" s="109"/>
    </row>
    <row r="5" spans="3:5" ht="26.25" customHeight="1" x14ac:dyDescent="0.25">
      <c r="C5" s="136"/>
      <c r="D5" s="109">
        <v>1</v>
      </c>
      <c r="E5" s="109"/>
    </row>
    <row r="6" spans="3:5" ht="26.25" customHeight="1" x14ac:dyDescent="0.25">
      <c r="C6" s="136"/>
      <c r="D6" s="109">
        <v>1</v>
      </c>
      <c r="E6" s="109"/>
    </row>
    <row r="7" spans="3:5" ht="22.5" customHeight="1" x14ac:dyDescent="0.25"/>
    <row r="15" spans="3:5" x14ac:dyDescent="0.25">
      <c r="C15" s="113" t="s">
        <v>491</v>
      </c>
      <c r="D15" s="137" t="s">
        <v>124</v>
      </c>
      <c r="E15" s="137" t="s">
        <v>228</v>
      </c>
    </row>
    <row r="16" spans="3:5" x14ac:dyDescent="0.25">
      <c r="C16" s="121" t="s">
        <v>490</v>
      </c>
      <c r="D16" s="109">
        <v>1037</v>
      </c>
      <c r="E16" s="109"/>
    </row>
    <row r="17" spans="3:5" x14ac:dyDescent="0.25">
      <c r="C17" s="139" t="s">
        <v>489</v>
      </c>
      <c r="D17" s="109">
        <v>8218</v>
      </c>
      <c r="E17" s="109"/>
    </row>
    <row r="18" spans="3:5" x14ac:dyDescent="0.25">
      <c r="C18" s="139" t="s">
        <v>424</v>
      </c>
      <c r="D18" s="109">
        <v>2640</v>
      </c>
      <c r="E18" s="109"/>
    </row>
    <row r="30" spans="3:5" ht="51" x14ac:dyDescent="0.25">
      <c r="C30" s="112" t="s">
        <v>488</v>
      </c>
      <c r="D30" s="137" t="s">
        <v>124</v>
      </c>
      <c r="E30" s="137" t="s">
        <v>228</v>
      </c>
    </row>
    <row r="31" spans="3:5" x14ac:dyDescent="0.25">
      <c r="C31" s="135" t="s">
        <v>487</v>
      </c>
      <c r="D31" s="109">
        <v>86122</v>
      </c>
      <c r="E31" s="109"/>
    </row>
    <row r="32" spans="3:5" x14ac:dyDescent="0.25">
      <c r="C32" s="135" t="s">
        <v>486</v>
      </c>
      <c r="D32" s="109">
        <v>767.1</v>
      </c>
      <c r="E32" s="109"/>
    </row>
    <row r="33" spans="3:5" x14ac:dyDescent="0.25">
      <c r="C33" s="135" t="s">
        <v>485</v>
      </c>
      <c r="D33" s="109">
        <v>55631.8</v>
      </c>
      <c r="E33" s="109"/>
    </row>
    <row r="34" spans="3:5" x14ac:dyDescent="0.25">
      <c r="C34" s="135" t="s">
        <v>484</v>
      </c>
      <c r="D34" s="109">
        <v>215824.7</v>
      </c>
      <c r="E34" s="109"/>
    </row>
    <row r="35" spans="3:5" x14ac:dyDescent="0.25">
      <c r="C35" s="135" t="s">
        <v>483</v>
      </c>
      <c r="D35" s="109">
        <v>186863</v>
      </c>
      <c r="E35" s="109"/>
    </row>
    <row r="36" spans="3:5" x14ac:dyDescent="0.25">
      <c r="C36" s="135" t="s">
        <v>482</v>
      </c>
      <c r="D36" s="109">
        <v>194575</v>
      </c>
      <c r="E36" s="109"/>
    </row>
    <row r="37" spans="3:5" x14ac:dyDescent="0.25">
      <c r="C37" s="135" t="s">
        <v>481</v>
      </c>
      <c r="D37" s="109">
        <v>68717</v>
      </c>
      <c r="E37" s="109"/>
    </row>
  </sheetData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D46"/>
  <sheetViews>
    <sheetView zoomScale="80" zoomScaleNormal="80" workbookViewId="0">
      <selection activeCell="H41" sqref="H41"/>
    </sheetView>
  </sheetViews>
  <sheetFormatPr defaultRowHeight="15" x14ac:dyDescent="0.25"/>
  <cols>
    <col min="2" max="2" width="33.42578125" customWidth="1"/>
    <col min="13" max="13" width="21.85546875" customWidth="1"/>
    <col min="19" max="19" width="37.140625" customWidth="1"/>
  </cols>
  <sheetData>
    <row r="3" spans="2:4" ht="25.5" x14ac:dyDescent="0.25">
      <c r="B3" s="112" t="s">
        <v>510</v>
      </c>
      <c r="C3" s="141" t="s">
        <v>124</v>
      </c>
      <c r="D3" s="141" t="s">
        <v>228</v>
      </c>
    </row>
    <row r="4" spans="2:4" x14ac:dyDescent="0.25">
      <c r="B4" s="136" t="s">
        <v>509</v>
      </c>
      <c r="C4" s="109">
        <v>1</v>
      </c>
      <c r="D4" s="109">
        <v>1</v>
      </c>
    </row>
    <row r="5" spans="2:4" x14ac:dyDescent="0.25">
      <c r="B5" s="136" t="s">
        <v>508</v>
      </c>
      <c r="C5" s="109">
        <v>1</v>
      </c>
      <c r="D5" s="109">
        <v>1</v>
      </c>
    </row>
    <row r="6" spans="2:4" x14ac:dyDescent="0.25">
      <c r="B6" s="138" t="s">
        <v>507</v>
      </c>
      <c r="C6" s="109">
        <v>1</v>
      </c>
      <c r="D6" s="109">
        <v>1</v>
      </c>
    </row>
    <row r="7" spans="2:4" x14ac:dyDescent="0.25">
      <c r="B7" s="141" t="s">
        <v>506</v>
      </c>
      <c r="C7" s="79">
        <v>1</v>
      </c>
      <c r="D7" s="79">
        <v>1</v>
      </c>
    </row>
    <row r="8" spans="2:4" x14ac:dyDescent="0.25">
      <c r="B8" s="136" t="s">
        <v>505</v>
      </c>
      <c r="C8" s="109">
        <v>7270</v>
      </c>
      <c r="D8" s="109"/>
    </row>
    <row r="9" spans="2:4" x14ac:dyDescent="0.25">
      <c r="B9" s="138" t="s">
        <v>504</v>
      </c>
      <c r="C9" s="109">
        <v>4739</v>
      </c>
      <c r="D9" s="109"/>
    </row>
    <row r="10" spans="2:4" x14ac:dyDescent="0.25">
      <c r="B10" s="138" t="s">
        <v>503</v>
      </c>
      <c r="C10" s="109">
        <v>828</v>
      </c>
      <c r="D10" s="109"/>
    </row>
    <row r="11" spans="2:4" x14ac:dyDescent="0.25">
      <c r="B11" s="136" t="s">
        <v>502</v>
      </c>
      <c r="C11" s="109">
        <v>2167</v>
      </c>
      <c r="D11" s="109"/>
    </row>
    <row r="12" spans="2:4" x14ac:dyDescent="0.25">
      <c r="B12" s="136" t="s">
        <v>501</v>
      </c>
      <c r="C12" s="109">
        <v>1620</v>
      </c>
      <c r="D12" s="109"/>
    </row>
    <row r="18" spans="2:4" x14ac:dyDescent="0.25">
      <c r="B18" s="154" t="s">
        <v>500</v>
      </c>
      <c r="C18" s="152" t="s">
        <v>124</v>
      </c>
      <c r="D18" s="152" t="s">
        <v>228</v>
      </c>
    </row>
    <row r="19" spans="2:4" x14ac:dyDescent="0.25">
      <c r="B19" s="153" t="s">
        <v>499</v>
      </c>
      <c r="C19" s="151">
        <v>5060</v>
      </c>
      <c r="D19" s="151"/>
    </row>
    <row r="20" spans="2:4" x14ac:dyDescent="0.25">
      <c r="B20" s="153" t="s">
        <v>498</v>
      </c>
      <c r="C20" s="151">
        <v>31189</v>
      </c>
      <c r="D20" s="151"/>
    </row>
    <row r="27" spans="2:4" x14ac:dyDescent="0.25">
      <c r="B27" s="149" t="s">
        <v>497</v>
      </c>
      <c r="C27" s="152" t="s">
        <v>124</v>
      </c>
      <c r="D27" s="152" t="s">
        <v>228</v>
      </c>
    </row>
    <row r="28" spans="2:4" ht="30" x14ac:dyDescent="0.25">
      <c r="B28" s="147" t="s">
        <v>496</v>
      </c>
      <c r="C28" s="151">
        <v>1</v>
      </c>
      <c r="D28" s="151"/>
    </row>
    <row r="29" spans="2:4" x14ac:dyDescent="0.25">
      <c r="B29" s="148" t="s">
        <v>495</v>
      </c>
      <c r="C29" s="151">
        <v>5</v>
      </c>
      <c r="D29" s="151"/>
    </row>
    <row r="44" spans="2:4" ht="30" x14ac:dyDescent="0.25">
      <c r="B44" s="150" t="s">
        <v>494</v>
      </c>
      <c r="C44" s="149" t="s">
        <v>124</v>
      </c>
      <c r="D44" s="149" t="s">
        <v>228</v>
      </c>
    </row>
    <row r="45" spans="2:4" x14ac:dyDescent="0.25">
      <c r="B45" s="148" t="s">
        <v>493</v>
      </c>
      <c r="C45" s="146">
        <v>23</v>
      </c>
      <c r="D45" s="146"/>
    </row>
    <row r="46" spans="2:4" x14ac:dyDescent="0.25">
      <c r="B46" s="147" t="s">
        <v>492</v>
      </c>
      <c r="C46" s="146">
        <v>68</v>
      </c>
      <c r="D46" s="146"/>
    </row>
  </sheetData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D38"/>
  <sheetViews>
    <sheetView zoomScale="80" zoomScaleNormal="80" workbookViewId="0">
      <selection activeCell="C27" sqref="C27"/>
    </sheetView>
  </sheetViews>
  <sheetFormatPr defaultRowHeight="15" x14ac:dyDescent="0.25"/>
  <cols>
    <col min="2" max="2" width="34.7109375" customWidth="1"/>
  </cols>
  <sheetData>
    <row r="2" spans="2:4" ht="26.25" x14ac:dyDescent="0.25">
      <c r="B2" s="140" t="s">
        <v>529</v>
      </c>
      <c r="C2" s="137" t="s">
        <v>124</v>
      </c>
      <c r="D2" s="137" t="s">
        <v>228</v>
      </c>
    </row>
    <row r="3" spans="2:4" x14ac:dyDescent="0.25">
      <c r="B3" s="136" t="s">
        <v>528</v>
      </c>
      <c r="C3" s="109"/>
      <c r="D3" s="109"/>
    </row>
    <row r="4" spans="2:4" x14ac:dyDescent="0.25">
      <c r="B4" s="136" t="s">
        <v>527</v>
      </c>
      <c r="C4" s="109"/>
      <c r="D4" s="109"/>
    </row>
    <row r="5" spans="2:4" ht="38.25" x14ac:dyDescent="0.25">
      <c r="B5" s="138" t="s">
        <v>526</v>
      </c>
      <c r="C5" s="109"/>
      <c r="D5" s="109"/>
    </row>
    <row r="6" spans="2:4" x14ac:dyDescent="0.25">
      <c r="B6" s="111" t="s">
        <v>525</v>
      </c>
      <c r="C6" s="109"/>
      <c r="D6" s="109"/>
    </row>
    <row r="15" spans="2:4" x14ac:dyDescent="0.25">
      <c r="B15" s="137" t="s">
        <v>524</v>
      </c>
      <c r="C15" s="137" t="s">
        <v>124</v>
      </c>
      <c r="D15" s="137" t="s">
        <v>228</v>
      </c>
    </row>
    <row r="16" spans="2:4" x14ac:dyDescent="0.25">
      <c r="B16" s="138" t="s">
        <v>523</v>
      </c>
      <c r="C16" s="109">
        <v>1097</v>
      </c>
      <c r="D16" s="109"/>
    </row>
    <row r="17" spans="2:4" ht="25.5" x14ac:dyDescent="0.25">
      <c r="B17" s="138" t="s">
        <v>522</v>
      </c>
      <c r="C17" s="109">
        <v>407</v>
      </c>
      <c r="D17" s="109"/>
    </row>
    <row r="18" spans="2:4" ht="25.5" x14ac:dyDescent="0.25">
      <c r="B18" s="138" t="s">
        <v>521</v>
      </c>
      <c r="C18" s="109">
        <v>305</v>
      </c>
      <c r="D18" s="109"/>
    </row>
    <row r="19" spans="2:4" x14ac:dyDescent="0.25">
      <c r="B19" s="136" t="s">
        <v>520</v>
      </c>
      <c r="C19" s="109">
        <v>235</v>
      </c>
      <c r="D19" s="109"/>
    </row>
    <row r="20" spans="2:4" ht="25.5" x14ac:dyDescent="0.25">
      <c r="B20" s="138" t="s">
        <v>519</v>
      </c>
      <c r="C20" s="109">
        <v>196</v>
      </c>
      <c r="D20" s="109"/>
    </row>
    <row r="21" spans="2:4" x14ac:dyDescent="0.25">
      <c r="B21" s="138" t="s">
        <v>518</v>
      </c>
      <c r="C21" s="109">
        <v>105</v>
      </c>
      <c r="D21" s="109"/>
    </row>
    <row r="22" spans="2:4" ht="26.25" customHeight="1" x14ac:dyDescent="0.25">
      <c r="B22" s="138" t="s">
        <v>517</v>
      </c>
      <c r="C22" s="109">
        <v>67</v>
      </c>
      <c r="D22" s="109"/>
    </row>
    <row r="23" spans="2:4" x14ac:dyDescent="0.25">
      <c r="B23" s="137" t="s">
        <v>516</v>
      </c>
      <c r="C23" s="137">
        <f>SUM(C24:C30)</f>
        <v>0</v>
      </c>
      <c r="D23" s="137">
        <f>SUM(D24:D30)</f>
        <v>0</v>
      </c>
    </row>
    <row r="29" spans="2:4" ht="21.75" customHeight="1" x14ac:dyDescent="0.25"/>
    <row r="30" spans="2:4" ht="21.75" customHeight="1" x14ac:dyDescent="0.25"/>
    <row r="33" spans="2:4" ht="26.25" customHeight="1" x14ac:dyDescent="0.25">
      <c r="B33" s="112" t="s">
        <v>515</v>
      </c>
      <c r="C33" s="93" t="s">
        <v>124</v>
      </c>
      <c r="D33" s="93" t="s">
        <v>228</v>
      </c>
    </row>
    <row r="34" spans="2:4" ht="25.5" x14ac:dyDescent="0.25">
      <c r="B34" s="138" t="s">
        <v>514</v>
      </c>
      <c r="C34" s="109">
        <v>387</v>
      </c>
      <c r="D34" s="109"/>
    </row>
    <row r="35" spans="2:4" x14ac:dyDescent="0.25">
      <c r="B35" s="138" t="s">
        <v>513</v>
      </c>
      <c r="C35" s="109">
        <v>37</v>
      </c>
      <c r="D35" s="109"/>
    </row>
    <row r="36" spans="2:4" x14ac:dyDescent="0.25">
      <c r="B36" s="138" t="s">
        <v>512</v>
      </c>
      <c r="C36" s="109">
        <v>336</v>
      </c>
      <c r="D36" s="109"/>
    </row>
    <row r="37" spans="2:4" x14ac:dyDescent="0.25">
      <c r="B37" s="138" t="s">
        <v>511</v>
      </c>
      <c r="C37" s="109">
        <v>14</v>
      </c>
      <c r="D37" s="109"/>
    </row>
    <row r="38" spans="2:4" x14ac:dyDescent="0.25">
      <c r="B38" s="112" t="s">
        <v>277</v>
      </c>
      <c r="C38" s="79">
        <f>SUM(C39:C42)</f>
        <v>0</v>
      </c>
      <c r="D38" s="79">
        <f>SUM(D39:D42)</f>
        <v>0</v>
      </c>
    </row>
  </sheetData>
  <pageMargins left="0.7" right="0.7" top="0.75" bottom="0.75" header="0.3" footer="0.3"/>
  <pageSetup paperSize="9" orientation="portrait" horizontalDpi="1200" verticalDpi="120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08"/>
  <sheetViews>
    <sheetView topLeftCell="A28" zoomScale="80" zoomScaleNormal="80" workbookViewId="0">
      <selection activeCell="A39" sqref="A39"/>
    </sheetView>
  </sheetViews>
  <sheetFormatPr defaultRowHeight="15" x14ac:dyDescent="0.25"/>
  <cols>
    <col min="1" max="1" width="23.42578125" customWidth="1"/>
    <col min="2" max="5" width="18.28515625" customWidth="1"/>
    <col min="6" max="6" width="21.28515625" customWidth="1"/>
    <col min="7" max="7" width="27.7109375" customWidth="1"/>
    <col min="10" max="10" width="15.42578125" customWidth="1"/>
    <col min="12" max="12" width="14" bestFit="1" customWidth="1"/>
    <col min="14" max="16" width="35" customWidth="1"/>
  </cols>
  <sheetData>
    <row r="1" spans="1:18" s="58" customFormat="1" ht="15.75" customHeight="1" thickBot="1" x14ac:dyDescent="0.3">
      <c r="A1" s="271" t="s">
        <v>103</v>
      </c>
      <c r="B1" s="273" t="s">
        <v>547</v>
      </c>
      <c r="C1" s="273"/>
      <c r="D1" s="273"/>
      <c r="E1" s="273"/>
      <c r="F1" s="274" t="s">
        <v>546</v>
      </c>
      <c r="G1" s="275"/>
    </row>
    <row r="2" spans="1:18" s="58" customFormat="1" ht="30.75" customHeight="1" thickBot="1" x14ac:dyDescent="0.3">
      <c r="A2" s="272"/>
      <c r="B2" s="173" t="s">
        <v>545</v>
      </c>
      <c r="C2" s="173" t="s">
        <v>544</v>
      </c>
      <c r="D2" s="173" t="s">
        <v>543</v>
      </c>
      <c r="E2" s="173" t="s">
        <v>2</v>
      </c>
      <c r="F2" s="172" t="s">
        <v>542</v>
      </c>
      <c r="G2" s="171" t="s">
        <v>541</v>
      </c>
      <c r="J2" s="58" t="s">
        <v>540</v>
      </c>
      <c r="K2" s="58" t="s">
        <v>539</v>
      </c>
      <c r="N2" s="93" t="s">
        <v>538</v>
      </c>
      <c r="O2" s="93" t="s">
        <v>248</v>
      </c>
      <c r="P2" s="93" t="s">
        <v>537</v>
      </c>
      <c r="R2" s="170" t="s">
        <v>536</v>
      </c>
    </row>
    <row r="3" spans="1:18" s="58" customFormat="1" ht="15.75" thickBot="1" x14ac:dyDescent="0.3">
      <c r="A3" s="164" t="s">
        <v>113</v>
      </c>
      <c r="B3" s="157">
        <f>SUM(B4:B14)</f>
        <v>0</v>
      </c>
      <c r="C3" s="157">
        <f>SUM(C4:C14)</f>
        <v>4</v>
      </c>
      <c r="D3" s="157">
        <f>SUM(D4:D14)</f>
        <v>4</v>
      </c>
      <c r="E3" s="157">
        <f t="shared" ref="E3:E34" si="0">B3+C3+D3</f>
        <v>8</v>
      </c>
      <c r="F3" s="158">
        <f t="shared" ref="F3:F34" si="1">E3/J3</f>
        <v>1.0121631647508104E-6</v>
      </c>
      <c r="G3" s="71" t="s">
        <v>530</v>
      </c>
      <c r="J3" s="163">
        <f>SUM(J4:J14)</f>
        <v>7903864</v>
      </c>
      <c r="N3" s="169" t="s">
        <v>535</v>
      </c>
      <c r="O3" s="169"/>
      <c r="P3" s="169"/>
    </row>
    <row r="4" spans="1:18" s="58" customFormat="1" ht="15.75" thickBot="1" x14ac:dyDescent="0.3">
      <c r="A4" s="5" t="s">
        <v>18</v>
      </c>
      <c r="B4" s="5"/>
      <c r="C4" s="5">
        <v>1</v>
      </c>
      <c r="D4" s="5">
        <v>1</v>
      </c>
      <c r="E4" s="162">
        <f t="shared" si="0"/>
        <v>2</v>
      </c>
      <c r="F4" s="161">
        <f t="shared" si="1"/>
        <v>2.0520649930024583E-6</v>
      </c>
      <c r="G4" s="1">
        <f>1.39/100000</f>
        <v>1.3899999999999999E-5</v>
      </c>
      <c r="J4" s="165">
        <v>974628</v>
      </c>
      <c r="N4" s="168" t="s">
        <v>534</v>
      </c>
      <c r="O4" s="168"/>
      <c r="P4" s="168"/>
    </row>
    <row r="5" spans="1:18" s="58" customFormat="1" ht="30.75" thickBot="1" x14ac:dyDescent="0.3">
      <c r="A5" s="5" t="s">
        <v>19</v>
      </c>
      <c r="B5" s="5"/>
      <c r="C5" s="5">
        <v>1</v>
      </c>
      <c r="D5" s="5">
        <v>1</v>
      </c>
      <c r="E5" s="162">
        <f t="shared" si="0"/>
        <v>2</v>
      </c>
      <c r="F5" s="161">
        <f t="shared" si="1"/>
        <v>2.0048818873958089E-6</v>
      </c>
      <c r="G5" s="1">
        <f>2.83/100000</f>
        <v>2.83E-5</v>
      </c>
      <c r="J5" s="165">
        <v>997565</v>
      </c>
      <c r="N5" s="167" t="s">
        <v>533</v>
      </c>
      <c r="O5" s="167"/>
      <c r="P5" s="167"/>
      <c r="R5" s="58" t="s">
        <v>532</v>
      </c>
    </row>
    <row r="6" spans="1:18" s="58" customFormat="1" ht="15.75" thickBot="1" x14ac:dyDescent="0.3">
      <c r="A6" s="5" t="s">
        <v>20</v>
      </c>
      <c r="B6" s="5"/>
      <c r="C6" s="5">
        <v>1</v>
      </c>
      <c r="D6" s="5">
        <v>1</v>
      </c>
      <c r="E6" s="162">
        <f t="shared" si="0"/>
        <v>2</v>
      </c>
      <c r="F6" s="161">
        <f t="shared" si="1"/>
        <v>2.015257514643365E-6</v>
      </c>
      <c r="G6" s="1">
        <f>2.32/100000</f>
        <v>2.3199999999999998E-5</v>
      </c>
      <c r="J6" s="165">
        <v>992429</v>
      </c>
      <c r="N6" s="166" t="s">
        <v>531</v>
      </c>
      <c r="O6" s="166"/>
      <c r="P6" s="166"/>
    </row>
    <row r="7" spans="1:18" s="58" customFormat="1" ht="15.75" thickBot="1" x14ac:dyDescent="0.3">
      <c r="A7" s="5" t="s">
        <v>21</v>
      </c>
      <c r="B7" s="5"/>
      <c r="C7" s="5">
        <v>1</v>
      </c>
      <c r="D7" s="5">
        <v>1</v>
      </c>
      <c r="E7" s="162">
        <f t="shared" si="0"/>
        <v>2</v>
      </c>
      <c r="F7" s="161">
        <f t="shared" si="1"/>
        <v>6.9268867107678455E-6</v>
      </c>
      <c r="G7" s="1">
        <f>3.81/100000</f>
        <v>3.8099999999999998E-5</v>
      </c>
      <c r="J7" s="165">
        <v>288730</v>
      </c>
    </row>
    <row r="8" spans="1:18" s="58" customFormat="1" ht="15.75" thickBot="1" x14ac:dyDescent="0.3">
      <c r="A8" s="5" t="s">
        <v>22</v>
      </c>
      <c r="B8" s="5"/>
      <c r="C8" s="5"/>
      <c r="D8" s="5"/>
      <c r="E8" s="162">
        <f t="shared" si="0"/>
        <v>0</v>
      </c>
      <c r="F8" s="161">
        <f t="shared" si="1"/>
        <v>0</v>
      </c>
      <c r="G8" s="1">
        <f>1.63/100000</f>
        <v>1.63E-5</v>
      </c>
      <c r="J8" s="165">
        <v>1820076</v>
      </c>
    </row>
    <row r="9" spans="1:18" s="58" customFormat="1" ht="15.75" thickBot="1" x14ac:dyDescent="0.3">
      <c r="A9" s="5" t="s">
        <v>23</v>
      </c>
      <c r="B9" s="5"/>
      <c r="C9" s="5"/>
      <c r="D9" s="5"/>
      <c r="E9" s="162">
        <f t="shared" si="0"/>
        <v>0</v>
      </c>
      <c r="F9" s="161">
        <f t="shared" si="1"/>
        <v>0</v>
      </c>
      <c r="G9" s="1">
        <f>2.38/100000</f>
        <v>2.3799999999999999E-5</v>
      </c>
      <c r="J9" s="165">
        <v>1284090</v>
      </c>
    </row>
    <row r="10" spans="1:18" s="58" customFormat="1" ht="15.75" thickBot="1" x14ac:dyDescent="0.3">
      <c r="A10" s="5" t="s">
        <v>24</v>
      </c>
      <c r="B10" s="5"/>
      <c r="C10" s="5"/>
      <c r="D10" s="5"/>
      <c r="E10" s="162">
        <f t="shared" si="0"/>
        <v>0</v>
      </c>
      <c r="F10" s="161">
        <f t="shared" si="1"/>
        <v>0</v>
      </c>
      <c r="G10" s="1">
        <f>1.57/100000</f>
        <v>1.5700000000000002E-5</v>
      </c>
      <c r="J10" s="165">
        <v>756198</v>
      </c>
    </row>
    <row r="11" spans="1:18" s="58" customFormat="1" ht="15.75" thickBot="1" x14ac:dyDescent="0.3">
      <c r="A11" s="5" t="s">
        <v>25</v>
      </c>
      <c r="B11" s="5"/>
      <c r="C11" s="5"/>
      <c r="D11" s="5"/>
      <c r="E11" s="162">
        <f t="shared" si="0"/>
        <v>0</v>
      </c>
      <c r="F11" s="161">
        <f t="shared" si="1"/>
        <v>0</v>
      </c>
      <c r="G11" s="1">
        <f>3.54/100000</f>
        <v>3.54E-5</v>
      </c>
      <c r="J11" s="165">
        <v>134315</v>
      </c>
    </row>
    <row r="12" spans="1:18" s="58" customFormat="1" ht="15.75" thickBot="1" x14ac:dyDescent="0.3">
      <c r="A12" s="5" t="s">
        <v>26</v>
      </c>
      <c r="B12" s="5"/>
      <c r="C12" s="5"/>
      <c r="D12" s="5"/>
      <c r="E12" s="162">
        <f t="shared" si="0"/>
        <v>0</v>
      </c>
      <c r="F12" s="161">
        <f t="shared" si="1"/>
        <v>0</v>
      </c>
      <c r="G12" s="1">
        <f>1.75/10000</f>
        <v>1.75E-4</v>
      </c>
      <c r="J12" s="165">
        <v>460535</v>
      </c>
    </row>
    <row r="13" spans="1:18" s="58" customFormat="1" ht="26.25" thickBot="1" x14ac:dyDescent="0.3">
      <c r="A13" s="5" t="s">
        <v>27</v>
      </c>
      <c r="B13" s="5"/>
      <c r="C13" s="5"/>
      <c r="D13" s="5"/>
      <c r="E13" s="162">
        <f t="shared" si="0"/>
        <v>0</v>
      </c>
      <c r="F13" s="161">
        <f t="shared" si="1"/>
        <v>0</v>
      </c>
      <c r="G13" s="1">
        <f>1.31/100000</f>
        <v>1.31E-5</v>
      </c>
      <c r="J13" s="165">
        <v>147458</v>
      </c>
    </row>
    <row r="14" spans="1:18" s="58" customFormat="1" ht="26.25" thickBot="1" x14ac:dyDescent="0.3">
      <c r="A14" s="5" t="s">
        <v>28</v>
      </c>
      <c r="B14" s="5"/>
      <c r="C14" s="5"/>
      <c r="D14" s="5"/>
      <c r="E14" s="162">
        <f t="shared" si="0"/>
        <v>0</v>
      </c>
      <c r="F14" s="161">
        <f t="shared" si="1"/>
        <v>0</v>
      </c>
      <c r="G14" s="1">
        <f>9.22/100000</f>
        <v>9.2200000000000005E-5</v>
      </c>
      <c r="J14" s="165">
        <v>47840</v>
      </c>
    </row>
    <row r="15" spans="1:18" s="58" customFormat="1" ht="15.75" thickBot="1" x14ac:dyDescent="0.3">
      <c r="A15" s="164" t="s">
        <v>115</v>
      </c>
      <c r="B15" s="157">
        <f>SUM(B16:B25)</f>
        <v>0</v>
      </c>
      <c r="C15" s="157">
        <f>SUM(C16:C25)</f>
        <v>0</v>
      </c>
      <c r="D15" s="157">
        <f>SUM(D16:D25)</f>
        <v>0</v>
      </c>
      <c r="E15" s="157">
        <f t="shared" si="0"/>
        <v>0</v>
      </c>
      <c r="F15" s="158">
        <f t="shared" si="1"/>
        <v>0</v>
      </c>
      <c r="G15" s="71" t="s">
        <v>530</v>
      </c>
      <c r="J15" s="163">
        <f>SUM(J16:J25)</f>
        <v>16645802</v>
      </c>
    </row>
    <row r="16" spans="1:18" s="58" customFormat="1" ht="15.75" thickBot="1" x14ac:dyDescent="0.3">
      <c r="A16" s="5" t="s">
        <v>29</v>
      </c>
      <c r="B16" s="5"/>
      <c r="C16" s="5"/>
      <c r="D16" s="5"/>
      <c r="E16" s="162">
        <f t="shared" si="0"/>
        <v>0</v>
      </c>
      <c r="F16" s="161">
        <f t="shared" si="1"/>
        <v>0</v>
      </c>
      <c r="G16" s="1">
        <f>1.94/100000</f>
        <v>1.9400000000000001E-5</v>
      </c>
      <c r="J16" s="160">
        <v>210769</v>
      </c>
    </row>
    <row r="17" spans="1:10" s="58" customFormat="1" ht="15.75" thickBot="1" x14ac:dyDescent="0.3">
      <c r="A17" s="5" t="s">
        <v>30</v>
      </c>
      <c r="B17" s="5"/>
      <c r="C17" s="5"/>
      <c r="D17" s="5"/>
      <c r="E17" s="162">
        <f t="shared" si="0"/>
        <v>0</v>
      </c>
      <c r="F17" s="161">
        <f t="shared" si="1"/>
        <v>0</v>
      </c>
      <c r="G17" s="1">
        <f>2.99/100000</f>
        <v>2.9900000000000002E-5</v>
      </c>
      <c r="J17" s="160">
        <v>337271</v>
      </c>
    </row>
    <row r="18" spans="1:10" s="58" customFormat="1" ht="15.75" thickBot="1" x14ac:dyDescent="0.3">
      <c r="A18" s="5" t="s">
        <v>31</v>
      </c>
      <c r="B18" s="5"/>
      <c r="C18" s="5"/>
      <c r="D18" s="5"/>
      <c r="E18" s="162">
        <f t="shared" si="0"/>
        <v>0</v>
      </c>
      <c r="F18" s="161">
        <f t="shared" si="1"/>
        <v>0</v>
      </c>
      <c r="G18" s="1">
        <f>1.5/100000</f>
        <v>1.5E-5</v>
      </c>
      <c r="J18" s="160">
        <v>530233</v>
      </c>
    </row>
    <row r="19" spans="1:10" s="58" customFormat="1" ht="15.75" thickBot="1" x14ac:dyDescent="0.3">
      <c r="A19" s="5" t="s">
        <v>32</v>
      </c>
      <c r="B19" s="5"/>
      <c r="C19" s="5"/>
      <c r="D19" s="5"/>
      <c r="E19" s="162">
        <f t="shared" si="0"/>
        <v>0</v>
      </c>
      <c r="F19" s="161">
        <f t="shared" si="1"/>
        <v>0</v>
      </c>
      <c r="G19" s="1">
        <f>1.27/100000</f>
        <v>1.27E-5</v>
      </c>
      <c r="J19" s="160">
        <v>2130950</v>
      </c>
    </row>
    <row r="20" spans="1:10" s="58" customFormat="1" ht="15.75" thickBot="1" x14ac:dyDescent="0.3">
      <c r="A20" s="5" t="s">
        <v>33</v>
      </c>
      <c r="B20" s="5"/>
      <c r="C20" s="5"/>
      <c r="D20" s="5"/>
      <c r="E20" s="162">
        <f t="shared" si="0"/>
        <v>0</v>
      </c>
      <c r="F20" s="161">
        <f t="shared" si="1"/>
        <v>0</v>
      </c>
      <c r="G20" s="1">
        <f>1.61/100000</f>
        <v>1.6100000000000002E-5</v>
      </c>
      <c r="J20" s="160">
        <v>2845545</v>
      </c>
    </row>
    <row r="21" spans="1:10" s="58" customFormat="1" ht="15.75" thickBot="1" x14ac:dyDescent="0.3">
      <c r="A21" s="5" t="s">
        <v>34</v>
      </c>
      <c r="B21" s="5"/>
      <c r="C21" s="5"/>
      <c r="D21" s="5"/>
      <c r="E21" s="162">
        <f t="shared" si="0"/>
        <v>0</v>
      </c>
      <c r="F21" s="161">
        <f t="shared" si="1"/>
        <v>0</v>
      </c>
      <c r="G21" s="1">
        <f>2.05/100000</f>
        <v>2.0499999999999997E-5</v>
      </c>
      <c r="J21" s="160">
        <v>2344360</v>
      </c>
    </row>
    <row r="22" spans="1:10" s="58" customFormat="1" ht="26.25" thickBot="1" x14ac:dyDescent="0.3">
      <c r="A22" s="5" t="s">
        <v>35</v>
      </c>
      <c r="B22" s="5"/>
      <c r="C22" s="5"/>
      <c r="D22" s="5"/>
      <c r="E22" s="162">
        <f t="shared" si="0"/>
        <v>0</v>
      </c>
      <c r="F22" s="161">
        <f t="shared" si="1"/>
        <v>0</v>
      </c>
      <c r="G22" s="1">
        <f>1.73/100000</f>
        <v>1.73E-5</v>
      </c>
      <c r="J22" s="160">
        <v>2568238</v>
      </c>
    </row>
    <row r="23" spans="1:10" s="58" customFormat="1" ht="15.75" thickBot="1" x14ac:dyDescent="0.3">
      <c r="A23" s="5" t="s">
        <v>36</v>
      </c>
      <c r="B23" s="5"/>
      <c r="C23" s="5"/>
      <c r="D23" s="5"/>
      <c r="E23" s="162">
        <f t="shared" si="0"/>
        <v>0</v>
      </c>
      <c r="F23" s="161">
        <f t="shared" si="1"/>
        <v>0</v>
      </c>
      <c r="G23" s="1">
        <f>1.2/100000</f>
        <v>1.2E-5</v>
      </c>
      <c r="J23" s="160">
        <v>2794266</v>
      </c>
    </row>
    <row r="24" spans="1:10" s="58" customFormat="1" ht="15.75" thickBot="1" x14ac:dyDescent="0.3">
      <c r="A24" s="5" t="s">
        <v>37</v>
      </c>
      <c r="B24" s="5"/>
      <c r="C24" s="5"/>
      <c r="D24" s="5"/>
      <c r="E24" s="162">
        <f t="shared" si="0"/>
        <v>0</v>
      </c>
      <c r="F24" s="161">
        <f t="shared" si="1"/>
        <v>0</v>
      </c>
      <c r="G24" s="1">
        <f>1.23/100000</f>
        <v>1.2299999999999999E-5</v>
      </c>
      <c r="J24" s="160">
        <v>1832064</v>
      </c>
    </row>
    <row r="25" spans="1:10" s="58" customFormat="1" ht="15.75" thickBot="1" x14ac:dyDescent="0.3">
      <c r="A25" s="5" t="s">
        <v>38</v>
      </c>
      <c r="B25" s="5"/>
      <c r="C25" s="5"/>
      <c r="D25" s="5"/>
      <c r="E25" s="162">
        <f t="shared" si="0"/>
        <v>0</v>
      </c>
      <c r="F25" s="161">
        <f t="shared" si="1"/>
        <v>0</v>
      </c>
      <c r="G25" s="1">
        <f>1.47/100000</f>
        <v>1.47E-5</v>
      </c>
      <c r="J25" s="160">
        <v>1052106</v>
      </c>
    </row>
    <row r="26" spans="1:10" s="58" customFormat="1" ht="15.75" thickBot="1" x14ac:dyDescent="0.3">
      <c r="A26" s="164" t="s">
        <v>116</v>
      </c>
      <c r="B26" s="157">
        <f>SUM(B27:B32)</f>
        <v>0</v>
      </c>
      <c r="C26" s="157">
        <f>SUM(C27:C32)</f>
        <v>0</v>
      </c>
      <c r="D26" s="157">
        <f>SUM(D27:D32)</f>
        <v>0</v>
      </c>
      <c r="E26" s="157">
        <f t="shared" si="0"/>
        <v>0</v>
      </c>
      <c r="F26" s="158">
        <f t="shared" si="1"/>
        <v>0</v>
      </c>
      <c r="G26" s="71" t="s">
        <v>530</v>
      </c>
      <c r="J26" s="163">
        <f>SUM(J27:J32)</f>
        <v>14501866</v>
      </c>
    </row>
    <row r="27" spans="1:10" s="58" customFormat="1" ht="15.75" thickBot="1" x14ac:dyDescent="0.3">
      <c r="A27" s="5" t="s">
        <v>39</v>
      </c>
      <c r="B27" s="5"/>
      <c r="C27" s="5"/>
      <c r="D27" s="5"/>
      <c r="E27" s="162">
        <f t="shared" si="0"/>
        <v>0</v>
      </c>
      <c r="F27" s="161">
        <f t="shared" si="1"/>
        <v>0</v>
      </c>
      <c r="G27" s="1">
        <f>1.23/100000</f>
        <v>1.2299999999999999E-5</v>
      </c>
      <c r="J27" s="160">
        <v>761586</v>
      </c>
    </row>
    <row r="28" spans="1:10" s="58" customFormat="1" ht="15.75" thickBot="1" x14ac:dyDescent="0.3">
      <c r="A28" s="5" t="s">
        <v>40</v>
      </c>
      <c r="B28" s="5"/>
      <c r="C28" s="5"/>
      <c r="D28" s="5"/>
      <c r="E28" s="162">
        <f t="shared" si="0"/>
        <v>0</v>
      </c>
      <c r="F28" s="161">
        <f t="shared" si="1"/>
        <v>0</v>
      </c>
      <c r="G28" s="1">
        <f>1.23/100000</f>
        <v>1.2299999999999999E-5</v>
      </c>
      <c r="J28" s="160">
        <v>4239161</v>
      </c>
    </row>
    <row r="29" spans="1:10" s="58" customFormat="1" ht="15.75" thickBot="1" x14ac:dyDescent="0.3">
      <c r="A29" s="5" t="s">
        <v>41</v>
      </c>
      <c r="B29" s="5"/>
      <c r="C29" s="5"/>
      <c r="D29" s="5"/>
      <c r="E29" s="162">
        <f t="shared" si="0"/>
        <v>0</v>
      </c>
      <c r="F29" s="161">
        <f t="shared" si="1"/>
        <v>0</v>
      </c>
      <c r="G29" s="1">
        <f>1.56/100000</f>
        <v>1.56E-5</v>
      </c>
      <c r="J29" s="160">
        <v>3851234</v>
      </c>
    </row>
    <row r="30" spans="1:10" s="58" customFormat="1" ht="15.75" thickBot="1" x14ac:dyDescent="0.3">
      <c r="A30" s="5" t="s">
        <v>42</v>
      </c>
      <c r="B30" s="5"/>
      <c r="C30" s="5"/>
      <c r="D30" s="5"/>
      <c r="E30" s="162">
        <f t="shared" si="0"/>
        <v>0</v>
      </c>
      <c r="F30" s="161">
        <f t="shared" si="1"/>
        <v>0</v>
      </c>
      <c r="G30" s="1">
        <f>8.9/1000000</f>
        <v>8.9000000000000012E-6</v>
      </c>
      <c r="J30" s="160">
        <v>3407145</v>
      </c>
    </row>
    <row r="31" spans="1:10" s="58" customFormat="1" ht="26.25" thickBot="1" x14ac:dyDescent="0.3">
      <c r="A31" s="5" t="s">
        <v>43</v>
      </c>
      <c r="B31" s="5"/>
      <c r="C31" s="5"/>
      <c r="D31" s="5"/>
      <c r="E31" s="162">
        <f t="shared" si="0"/>
        <v>0</v>
      </c>
      <c r="F31" s="161">
        <f t="shared" si="1"/>
        <v>0</v>
      </c>
      <c r="G31" s="1">
        <f>2.06/100000</f>
        <v>2.0599999999999999E-5</v>
      </c>
      <c r="J31" s="160">
        <v>1730353</v>
      </c>
    </row>
    <row r="32" spans="1:10" s="58" customFormat="1" ht="26.25" thickBot="1" x14ac:dyDescent="0.3">
      <c r="A32" s="5" t="s">
        <v>44</v>
      </c>
      <c r="B32" s="5"/>
      <c r="C32" s="5"/>
      <c r="D32" s="5"/>
      <c r="E32" s="162">
        <f t="shared" si="0"/>
        <v>0</v>
      </c>
      <c r="F32" s="161">
        <f t="shared" si="1"/>
        <v>0</v>
      </c>
      <c r="G32" s="1">
        <f>2.01/100000</f>
        <v>2.0099999999999997E-5</v>
      </c>
      <c r="J32" s="160">
        <v>512387</v>
      </c>
    </row>
    <row r="33" spans="1:10" s="58" customFormat="1" ht="15.75" thickBot="1" x14ac:dyDescent="0.3">
      <c r="A33" s="164" t="s">
        <v>117</v>
      </c>
      <c r="B33" s="157">
        <f>SUM(B34:B47)</f>
        <v>0</v>
      </c>
      <c r="C33" s="157">
        <f>SUM(C34:C47)</f>
        <v>0</v>
      </c>
      <c r="D33" s="157">
        <f>SUM(D34:D47)</f>
        <v>0</v>
      </c>
      <c r="E33" s="157">
        <f t="shared" si="0"/>
        <v>0</v>
      </c>
      <c r="F33" s="158">
        <f t="shared" si="1"/>
        <v>0</v>
      </c>
      <c r="G33" s="71" t="s">
        <v>530</v>
      </c>
      <c r="J33" s="163">
        <f>SUM(J34:J47)</f>
        <v>28683247</v>
      </c>
    </row>
    <row r="34" spans="1:10" s="58" customFormat="1" ht="30" customHeight="1" thickBot="1" x14ac:dyDescent="0.3">
      <c r="A34" s="5" t="s">
        <v>45</v>
      </c>
      <c r="B34" s="5"/>
      <c r="C34" s="5"/>
      <c r="D34" s="5"/>
      <c r="E34" s="162">
        <f t="shared" si="0"/>
        <v>0</v>
      </c>
      <c r="F34" s="161">
        <f t="shared" si="1"/>
        <v>0</v>
      </c>
      <c r="G34" s="1">
        <f>1.16/100000</f>
        <v>1.1599999999999999E-5</v>
      </c>
      <c r="J34" s="160">
        <v>4077600</v>
      </c>
    </row>
    <row r="35" spans="1:10" s="58" customFormat="1" ht="15.75" thickBot="1" x14ac:dyDescent="0.3">
      <c r="A35" s="5" t="s">
        <v>46</v>
      </c>
      <c r="B35" s="5"/>
      <c r="C35" s="5"/>
      <c r="D35" s="5"/>
      <c r="E35" s="162">
        <f t="shared" ref="E35:E66" si="2">B35+C35+D35</f>
        <v>0</v>
      </c>
      <c r="F35" s="161">
        <f t="shared" ref="F35:F66" si="3">E35/J35</f>
        <v>0</v>
      </c>
      <c r="G35" s="1">
        <f>1.5/100000</f>
        <v>1.5E-5</v>
      </c>
      <c r="J35" s="160">
        <v>672321</v>
      </c>
    </row>
    <row r="36" spans="1:10" s="58" customFormat="1" ht="15.75" thickBot="1" x14ac:dyDescent="0.3">
      <c r="A36" s="5" t="s">
        <v>47</v>
      </c>
      <c r="B36" s="5"/>
      <c r="C36" s="5"/>
      <c r="D36" s="5"/>
      <c r="E36" s="162">
        <f t="shared" si="2"/>
        <v>0</v>
      </c>
      <c r="F36" s="161">
        <f t="shared" si="3"/>
        <v>0</v>
      </c>
      <c r="G36" s="1">
        <f>1.04/100000</f>
        <v>1.04E-5</v>
      </c>
      <c r="J36" s="160">
        <v>771373</v>
      </c>
    </row>
    <row r="37" spans="1:10" s="58" customFormat="1" ht="15.75" thickBot="1" x14ac:dyDescent="0.3">
      <c r="A37" s="5" t="s">
        <v>48</v>
      </c>
      <c r="B37" s="5"/>
      <c r="C37" s="5"/>
      <c r="D37" s="5"/>
      <c r="E37" s="162">
        <f t="shared" si="2"/>
        <v>0</v>
      </c>
      <c r="F37" s="161">
        <f t="shared" si="3"/>
        <v>0</v>
      </c>
      <c r="G37" s="1">
        <f>1.05/100000</f>
        <v>1.0500000000000001E-5</v>
      </c>
      <c r="J37" s="160">
        <v>4001625</v>
      </c>
    </row>
    <row r="38" spans="1:10" s="58" customFormat="1" ht="15.75" thickBot="1" x14ac:dyDescent="0.3">
      <c r="A38" s="5" t="s">
        <v>49</v>
      </c>
      <c r="B38" s="5"/>
      <c r="C38" s="5"/>
      <c r="D38" s="5"/>
      <c r="E38" s="162">
        <f t="shared" si="2"/>
        <v>0</v>
      </c>
      <c r="F38" s="161">
        <f t="shared" si="3"/>
        <v>0</v>
      </c>
      <c r="G38" s="1">
        <f>1.25/100000</f>
        <v>1.2500000000000001E-5</v>
      </c>
      <c r="J38" s="160">
        <v>1442251</v>
      </c>
    </row>
    <row r="39" spans="1:10" s="58" customFormat="1" ht="26.25" thickBot="1" x14ac:dyDescent="0.3">
      <c r="A39" s="277" t="s">
        <v>618</v>
      </c>
      <c r="B39" s="5"/>
      <c r="C39" s="5"/>
      <c r="D39" s="5"/>
      <c r="E39" s="162">
        <f t="shared" si="2"/>
        <v>0</v>
      </c>
      <c r="F39" s="161">
        <f t="shared" si="3"/>
        <v>0</v>
      </c>
      <c r="G39" s="1">
        <f>9.23/1000000</f>
        <v>9.2299999999999997E-6</v>
      </c>
      <c r="J39" s="160">
        <v>1173177</v>
      </c>
    </row>
    <row r="40" spans="1:10" s="58" customFormat="1" ht="15.75" thickBot="1" x14ac:dyDescent="0.3">
      <c r="A40" s="5" t="s">
        <v>51</v>
      </c>
      <c r="B40" s="5"/>
      <c r="C40" s="5"/>
      <c r="D40" s="5"/>
      <c r="E40" s="162">
        <f t="shared" si="2"/>
        <v>0</v>
      </c>
      <c r="F40" s="161">
        <f t="shared" si="3"/>
        <v>0</v>
      </c>
      <c r="G40" s="1">
        <f>1.78/100000</f>
        <v>1.7799999999999999E-5</v>
      </c>
      <c r="J40" s="160">
        <v>2508352</v>
      </c>
    </row>
    <row r="41" spans="1:10" s="58" customFormat="1" ht="15.75" thickBot="1" x14ac:dyDescent="0.3">
      <c r="A41" s="5" t="s">
        <v>52</v>
      </c>
      <c r="B41" s="5"/>
      <c r="C41" s="5"/>
      <c r="D41" s="5"/>
      <c r="E41" s="162">
        <f t="shared" si="2"/>
        <v>0</v>
      </c>
      <c r="F41" s="161">
        <f t="shared" si="3"/>
        <v>0</v>
      </c>
      <c r="G41" s="1">
        <f>1.37/100000</f>
        <v>1.3700000000000001E-5</v>
      </c>
      <c r="J41" s="160">
        <v>1138112</v>
      </c>
    </row>
    <row r="42" spans="1:10" s="58" customFormat="1" ht="15.75" thickBot="1" x14ac:dyDescent="0.3">
      <c r="A42" s="5" t="s">
        <v>53</v>
      </c>
      <c r="B42" s="5"/>
      <c r="C42" s="5"/>
      <c r="D42" s="5"/>
      <c r="E42" s="162">
        <f t="shared" si="2"/>
        <v>0</v>
      </c>
      <c r="F42" s="161">
        <f t="shared" si="3"/>
        <v>0</v>
      </c>
      <c r="G42" s="1">
        <f>1.23/100000</f>
        <v>1.2299999999999999E-5</v>
      </c>
      <c r="J42" s="160">
        <v>3081817</v>
      </c>
    </row>
    <row r="43" spans="1:10" s="58" customFormat="1" ht="15.75" thickBot="1" x14ac:dyDescent="0.3">
      <c r="A43" s="5" t="s">
        <v>54</v>
      </c>
      <c r="B43" s="5"/>
      <c r="C43" s="5"/>
      <c r="D43" s="5"/>
      <c r="E43" s="162">
        <f t="shared" si="2"/>
        <v>0</v>
      </c>
      <c r="F43" s="161">
        <f t="shared" si="3"/>
        <v>0</v>
      </c>
      <c r="G43" s="1">
        <f>9.97/1000000</f>
        <v>9.9700000000000011E-6</v>
      </c>
      <c r="J43" s="160">
        <v>1841377</v>
      </c>
    </row>
    <row r="44" spans="1:10" s="58" customFormat="1" ht="15.75" thickBot="1" x14ac:dyDescent="0.3">
      <c r="A44" s="5" t="s">
        <v>55</v>
      </c>
      <c r="B44" s="5"/>
      <c r="C44" s="5"/>
      <c r="D44" s="5"/>
      <c r="E44" s="162">
        <f t="shared" si="2"/>
        <v>0</v>
      </c>
      <c r="F44" s="161">
        <f t="shared" si="3"/>
        <v>0</v>
      </c>
      <c r="G44" s="1">
        <f>7.89/1000000</f>
        <v>7.889999999999999E-6</v>
      </c>
      <c r="J44" s="160">
        <v>1246609</v>
      </c>
    </row>
    <row r="45" spans="1:10" s="58" customFormat="1" ht="15.75" thickBot="1" x14ac:dyDescent="0.3">
      <c r="A45" s="5" t="s">
        <v>56</v>
      </c>
      <c r="B45" s="5"/>
      <c r="C45" s="5"/>
      <c r="D45" s="5"/>
      <c r="E45" s="162">
        <f t="shared" si="2"/>
        <v>0</v>
      </c>
      <c r="F45" s="161">
        <f t="shared" si="3"/>
        <v>0</v>
      </c>
      <c r="G45" s="1">
        <f>1.08/100000</f>
        <v>1.08E-5</v>
      </c>
      <c r="J45" s="160">
        <v>3142683</v>
      </c>
    </row>
    <row r="46" spans="1:10" s="58" customFormat="1" ht="15.75" thickBot="1" x14ac:dyDescent="0.3">
      <c r="A46" s="5" t="s">
        <v>57</v>
      </c>
      <c r="B46" s="5"/>
      <c r="C46" s="5"/>
      <c r="D46" s="5"/>
      <c r="E46" s="162">
        <f t="shared" si="2"/>
        <v>0</v>
      </c>
      <c r="F46" s="161">
        <f t="shared" si="3"/>
        <v>0</v>
      </c>
      <c r="G46" s="1">
        <f>7.92/1000000</f>
        <v>7.9200000000000004E-6</v>
      </c>
      <c r="J46" s="160">
        <v>2404944</v>
      </c>
    </row>
    <row r="47" spans="1:10" s="58" customFormat="1" ht="15.75" thickBot="1" x14ac:dyDescent="0.3">
      <c r="A47" s="5" t="s">
        <v>58</v>
      </c>
      <c r="B47" s="5"/>
      <c r="C47" s="5"/>
      <c r="D47" s="5"/>
      <c r="E47" s="162">
        <f t="shared" si="2"/>
        <v>0</v>
      </c>
      <c r="F47" s="161">
        <f t="shared" si="3"/>
        <v>0</v>
      </c>
      <c r="G47" s="1">
        <f>9.57/1000000</f>
        <v>9.5699999999999999E-6</v>
      </c>
      <c r="J47" s="160">
        <v>1181006</v>
      </c>
    </row>
    <row r="48" spans="1:10" s="58" customFormat="1" ht="15.75" thickBot="1" x14ac:dyDescent="0.3">
      <c r="A48" s="164" t="s">
        <v>118</v>
      </c>
      <c r="B48" s="157">
        <f>SUM(B49:B56)</f>
        <v>0</v>
      </c>
      <c r="C48" s="157">
        <f>SUM(C49:C56)</f>
        <v>0</v>
      </c>
      <c r="D48" s="157">
        <f>SUM(D49:D56)</f>
        <v>0</v>
      </c>
      <c r="E48" s="157">
        <f t="shared" si="2"/>
        <v>0</v>
      </c>
      <c r="F48" s="158">
        <f t="shared" si="3"/>
        <v>0</v>
      </c>
      <c r="G48" s="71" t="s">
        <v>530</v>
      </c>
      <c r="J48" s="163">
        <f>SUM(J49:J56)</f>
        <v>16642052</v>
      </c>
    </row>
    <row r="49" spans="1:10" s="58" customFormat="1" ht="15.75" thickBot="1" x14ac:dyDescent="0.3">
      <c r="A49" s="5" t="s">
        <v>59</v>
      </c>
      <c r="B49" s="5"/>
      <c r="C49" s="5"/>
      <c r="D49" s="5"/>
      <c r="E49" s="162">
        <f t="shared" si="2"/>
        <v>0</v>
      </c>
      <c r="F49" s="161">
        <f t="shared" si="3"/>
        <v>0</v>
      </c>
      <c r="G49" s="1">
        <f>6.3/1000000</f>
        <v>6.2999999999999998E-6</v>
      </c>
      <c r="J49" s="160">
        <v>497985</v>
      </c>
    </row>
    <row r="50" spans="1:10" s="58" customFormat="1" ht="15.75" thickBot="1" x14ac:dyDescent="0.3">
      <c r="A50" s="5" t="s">
        <v>60</v>
      </c>
      <c r="B50" s="5"/>
      <c r="C50" s="5"/>
      <c r="D50" s="5"/>
      <c r="E50" s="162">
        <f t="shared" si="2"/>
        <v>0</v>
      </c>
      <c r="F50" s="161">
        <f t="shared" si="3"/>
        <v>0</v>
      </c>
      <c r="G50" s="1">
        <f>1.25/100000</f>
        <v>1.2500000000000001E-5</v>
      </c>
      <c r="J50" s="160">
        <v>264483</v>
      </c>
    </row>
    <row r="51" spans="1:10" s="58" customFormat="1" ht="15.75" thickBot="1" x14ac:dyDescent="0.3">
      <c r="A51" s="5" t="s">
        <v>61</v>
      </c>
      <c r="B51" s="5"/>
      <c r="C51" s="5"/>
      <c r="D51" s="5"/>
      <c r="E51" s="162">
        <f t="shared" si="2"/>
        <v>0</v>
      </c>
      <c r="F51" s="161">
        <f t="shared" si="3"/>
        <v>0</v>
      </c>
      <c r="G51" s="1">
        <f>1.15/100000</f>
        <v>1.1499999999999998E-5</v>
      </c>
      <c r="J51" s="160">
        <v>1916805</v>
      </c>
    </row>
    <row r="52" spans="1:10" s="58" customFormat="1" ht="15.75" thickBot="1" x14ac:dyDescent="0.3">
      <c r="A52" s="5" t="s">
        <v>62</v>
      </c>
      <c r="B52" s="5"/>
      <c r="C52" s="5"/>
      <c r="D52" s="5"/>
      <c r="E52" s="162">
        <f t="shared" si="2"/>
        <v>0</v>
      </c>
      <c r="F52" s="161">
        <f t="shared" si="3"/>
        <v>0</v>
      </c>
      <c r="G52" s="1">
        <f>6.53/1000000</f>
        <v>6.5300000000000002E-6</v>
      </c>
      <c r="J52" s="160">
        <v>5819345</v>
      </c>
    </row>
    <row r="53" spans="1:10" s="58" customFormat="1" ht="15.75" thickBot="1" x14ac:dyDescent="0.3">
      <c r="A53" s="5" t="s">
        <v>63</v>
      </c>
      <c r="B53" s="5"/>
      <c r="C53" s="5"/>
      <c r="D53" s="5"/>
      <c r="E53" s="162">
        <f t="shared" si="2"/>
        <v>0</v>
      </c>
      <c r="F53" s="161">
        <f t="shared" si="3"/>
        <v>0</v>
      </c>
      <c r="G53" s="1">
        <f>6.62/1000000</f>
        <v>6.6200000000000001E-6</v>
      </c>
      <c r="J53" s="160">
        <v>950557</v>
      </c>
    </row>
    <row r="54" spans="1:10" s="58" customFormat="1" ht="15.75" thickBot="1" x14ac:dyDescent="0.3">
      <c r="A54" s="5" t="s">
        <v>64</v>
      </c>
      <c r="B54" s="5"/>
      <c r="C54" s="5"/>
      <c r="D54" s="5"/>
      <c r="E54" s="162">
        <f t="shared" si="2"/>
        <v>0</v>
      </c>
      <c r="F54" s="161">
        <f t="shared" si="3"/>
        <v>0</v>
      </c>
      <c r="G54" s="1">
        <f>1.12/100000</f>
        <v>1.1200000000000001E-5</v>
      </c>
      <c r="J54" s="160">
        <v>2470057</v>
      </c>
    </row>
    <row r="55" spans="1:10" s="58" customFormat="1" ht="15.75" thickBot="1" x14ac:dyDescent="0.3">
      <c r="A55" s="5" t="s">
        <v>65</v>
      </c>
      <c r="B55" s="5"/>
      <c r="C55" s="5"/>
      <c r="D55" s="5"/>
      <c r="E55" s="162">
        <f t="shared" si="2"/>
        <v>0</v>
      </c>
      <c r="F55" s="161">
        <f t="shared" si="3"/>
        <v>0</v>
      </c>
      <c r="G55" s="1">
        <f>9.07/1000000</f>
        <v>9.0699999999999996E-6</v>
      </c>
      <c r="J55" s="160">
        <v>4164547</v>
      </c>
    </row>
    <row r="56" spans="1:10" s="58" customFormat="1" ht="15.75" thickBot="1" x14ac:dyDescent="0.3">
      <c r="A56" s="5" t="s">
        <v>66</v>
      </c>
      <c r="B56" s="5"/>
      <c r="C56" s="5"/>
      <c r="D56" s="5"/>
      <c r="E56" s="162">
        <f t="shared" si="2"/>
        <v>0</v>
      </c>
      <c r="F56" s="161">
        <f t="shared" si="3"/>
        <v>0</v>
      </c>
      <c r="G56" s="1">
        <f>1.19/100000</f>
        <v>1.19E-5</v>
      </c>
      <c r="J56" s="160">
        <v>558273</v>
      </c>
    </row>
    <row r="57" spans="1:10" s="58" customFormat="1" ht="15.75" thickBot="1" x14ac:dyDescent="0.3">
      <c r="A57" s="164" t="s">
        <v>119</v>
      </c>
      <c r="B57" s="157">
        <f>SUM(B58:B64)</f>
        <v>0</v>
      </c>
      <c r="C57" s="157">
        <f>SUM(C58:C64)</f>
        <v>0</v>
      </c>
      <c r="D57" s="157">
        <f>SUM(D58:D64)</f>
        <v>0</v>
      </c>
      <c r="E57" s="157">
        <f t="shared" si="2"/>
        <v>0</v>
      </c>
      <c r="F57" s="158">
        <f t="shared" si="3"/>
        <v>0</v>
      </c>
      <c r="G57" s="71" t="s">
        <v>530</v>
      </c>
      <c r="J57" s="163">
        <f>SUM(J58:J64)</f>
        <v>10205730</v>
      </c>
    </row>
    <row r="58" spans="1:10" s="58" customFormat="1" ht="15.75" thickBot="1" x14ac:dyDescent="0.3">
      <c r="A58" s="5" t="s">
        <v>67</v>
      </c>
      <c r="B58" s="5"/>
      <c r="C58" s="5"/>
      <c r="D58" s="5"/>
      <c r="E58" s="162">
        <f t="shared" si="2"/>
        <v>0</v>
      </c>
      <c r="F58" s="161">
        <f t="shared" si="3"/>
        <v>0</v>
      </c>
      <c r="G58" s="1">
        <f>1.55/100000</f>
        <v>1.5500000000000001E-5</v>
      </c>
      <c r="J58" s="160">
        <v>3209781</v>
      </c>
    </row>
    <row r="59" spans="1:10" s="58" customFormat="1" ht="15.75" thickBot="1" x14ac:dyDescent="0.3">
      <c r="A59" s="5" t="s">
        <v>68</v>
      </c>
      <c r="B59" s="5"/>
      <c r="C59" s="5"/>
      <c r="D59" s="5"/>
      <c r="E59" s="162">
        <f t="shared" si="2"/>
        <v>0</v>
      </c>
      <c r="F59" s="161">
        <f t="shared" si="3"/>
        <v>0</v>
      </c>
      <c r="G59" s="1">
        <f>1.2/100000</f>
        <v>1.2E-5</v>
      </c>
      <c r="J59" s="160">
        <v>519078</v>
      </c>
    </row>
    <row r="60" spans="1:10" s="58" customFormat="1" ht="26.25" thickBot="1" x14ac:dyDescent="0.3">
      <c r="A60" s="5" t="s">
        <v>69</v>
      </c>
      <c r="B60" s="5"/>
      <c r="C60" s="5"/>
      <c r="D60" s="5"/>
      <c r="E60" s="162">
        <f t="shared" si="2"/>
        <v>0</v>
      </c>
      <c r="F60" s="161">
        <f t="shared" si="3"/>
        <v>0</v>
      </c>
      <c r="G60" s="1">
        <f>1.31/100000</f>
        <v>1.31E-5</v>
      </c>
      <c r="J60" s="160">
        <v>903266</v>
      </c>
    </row>
    <row r="61" spans="1:10" s="58" customFormat="1" ht="26.25" thickBot="1" x14ac:dyDescent="0.3">
      <c r="A61" s="5" t="s">
        <v>70</v>
      </c>
      <c r="B61" s="5"/>
      <c r="C61" s="5"/>
      <c r="D61" s="5"/>
      <c r="E61" s="162">
        <f t="shared" si="2"/>
        <v>0</v>
      </c>
      <c r="F61" s="161">
        <f t="shared" si="3"/>
        <v>0</v>
      </c>
      <c r="G61" s="1">
        <f>1.13/100000</f>
        <v>1.1299999999999999E-5</v>
      </c>
      <c r="J61" s="160">
        <v>468444</v>
      </c>
    </row>
    <row r="62" spans="1:10" s="58" customFormat="1" ht="26.25" thickBot="1" x14ac:dyDescent="0.3">
      <c r="A62" s="5" t="s">
        <v>71</v>
      </c>
      <c r="B62" s="5"/>
      <c r="C62" s="5"/>
      <c r="D62" s="5"/>
      <c r="E62" s="162">
        <f t="shared" si="2"/>
        <v>0</v>
      </c>
      <c r="F62" s="161">
        <f t="shared" si="3"/>
        <v>0</v>
      </c>
      <c r="G62" s="1">
        <f>4.01/100000</f>
        <v>4.0099999999999999E-5</v>
      </c>
      <c r="J62" s="160">
        <v>680748</v>
      </c>
    </row>
    <row r="63" spans="1:10" s="58" customFormat="1" ht="15.75" thickBot="1" x14ac:dyDescent="0.3">
      <c r="A63" s="5" t="s">
        <v>72</v>
      </c>
      <c r="B63" s="5"/>
      <c r="C63" s="5"/>
      <c r="D63" s="5"/>
      <c r="E63" s="162">
        <f t="shared" si="2"/>
        <v>0</v>
      </c>
      <c r="F63" s="161">
        <f t="shared" si="3"/>
        <v>0</v>
      </c>
      <c r="G63" s="1">
        <f>2.56/100000</f>
        <v>2.5599999999999999E-5</v>
      </c>
      <c r="J63" s="160">
        <v>1533209</v>
      </c>
    </row>
    <row r="64" spans="1:10" s="58" customFormat="1" ht="15.75" thickBot="1" x14ac:dyDescent="0.3">
      <c r="A64" s="5" t="s">
        <v>73</v>
      </c>
      <c r="B64" s="5"/>
      <c r="C64" s="5"/>
      <c r="D64" s="5"/>
      <c r="E64" s="162">
        <f t="shared" si="2"/>
        <v>0</v>
      </c>
      <c r="F64" s="161">
        <f t="shared" si="3"/>
        <v>0</v>
      </c>
      <c r="G64" s="1">
        <f>1.07/100000</f>
        <v>1.0700000000000001E-5</v>
      </c>
      <c r="J64" s="160">
        <v>2891204</v>
      </c>
    </row>
    <row r="65" spans="1:10" s="58" customFormat="1" ht="15.75" thickBot="1" x14ac:dyDescent="0.3">
      <c r="A65" s="164" t="s">
        <v>120</v>
      </c>
      <c r="B65" s="157">
        <f>SUM(B66:B76)</f>
        <v>0</v>
      </c>
      <c r="C65" s="157">
        <f>SUM(C66:C76)</f>
        <v>0</v>
      </c>
      <c r="D65" s="157">
        <f>SUM(D66:D76)</f>
        <v>0</v>
      </c>
      <c r="E65" s="157">
        <f t="shared" si="2"/>
        <v>0</v>
      </c>
      <c r="F65" s="158">
        <f t="shared" si="3"/>
        <v>0</v>
      </c>
      <c r="G65" s="71" t="s">
        <v>530</v>
      </c>
      <c r="J65" s="163">
        <f>SUM(J66:J76)</f>
        <v>13908730</v>
      </c>
    </row>
    <row r="66" spans="1:10" s="58" customFormat="1" ht="15.75" thickBot="1" x14ac:dyDescent="0.3">
      <c r="A66" s="5" t="s">
        <v>74</v>
      </c>
      <c r="B66" s="5"/>
      <c r="C66" s="5"/>
      <c r="D66" s="5"/>
      <c r="E66" s="162">
        <f t="shared" si="2"/>
        <v>0</v>
      </c>
      <c r="F66" s="161">
        <f t="shared" si="3"/>
        <v>0</v>
      </c>
      <c r="G66" s="1">
        <f>1.86/100000</f>
        <v>1.8600000000000001E-5</v>
      </c>
      <c r="J66" s="160">
        <v>527880</v>
      </c>
    </row>
    <row r="67" spans="1:10" s="58" customFormat="1" ht="15.75" thickBot="1" x14ac:dyDescent="0.3">
      <c r="A67" s="5" t="s">
        <v>75</v>
      </c>
      <c r="B67" s="5"/>
      <c r="C67" s="5"/>
      <c r="D67" s="5"/>
      <c r="E67" s="162">
        <f t="shared" ref="E67:E101" si="4">B67+C67+D67</f>
        <v>0</v>
      </c>
      <c r="F67" s="161">
        <f t="shared" ref="F67:F101" si="5">E67/J67</f>
        <v>0</v>
      </c>
      <c r="G67" s="1">
        <f>2.44/100000</f>
        <v>2.44E-5</v>
      </c>
      <c r="J67" s="160">
        <v>726434</v>
      </c>
    </row>
    <row r="68" spans="1:10" s="58" customFormat="1" ht="15.75" thickBot="1" x14ac:dyDescent="0.3">
      <c r="A68" s="5" t="s">
        <v>76</v>
      </c>
      <c r="B68" s="5"/>
      <c r="C68" s="5"/>
      <c r="D68" s="5"/>
      <c r="E68" s="162">
        <f t="shared" si="4"/>
        <v>0</v>
      </c>
      <c r="F68" s="161">
        <f t="shared" si="5"/>
        <v>0</v>
      </c>
      <c r="G68" s="1">
        <f>1.82/100000</f>
        <v>1.8200000000000002E-5</v>
      </c>
      <c r="J68" s="160">
        <v>1005687</v>
      </c>
    </row>
    <row r="69" spans="1:10" s="58" customFormat="1" ht="15.75" thickBot="1" x14ac:dyDescent="0.3">
      <c r="A69" s="5" t="s">
        <v>77</v>
      </c>
      <c r="B69" s="5"/>
      <c r="C69" s="5"/>
      <c r="D69" s="5"/>
      <c r="E69" s="162">
        <f t="shared" si="4"/>
        <v>0</v>
      </c>
      <c r="F69" s="161">
        <f t="shared" si="5"/>
        <v>0</v>
      </c>
      <c r="G69" s="1">
        <f>1.9/100000</f>
        <v>1.8999999999999998E-5</v>
      </c>
      <c r="J69" s="160">
        <v>1128782</v>
      </c>
    </row>
    <row r="70" spans="1:10" s="58" customFormat="1" ht="15.75" thickBot="1" x14ac:dyDescent="0.3">
      <c r="A70" s="5" t="s">
        <v>78</v>
      </c>
      <c r="B70" s="5"/>
      <c r="C70" s="5"/>
      <c r="D70" s="5"/>
      <c r="E70" s="162">
        <f t="shared" si="4"/>
        <v>0</v>
      </c>
      <c r="F70" s="161">
        <f t="shared" si="5"/>
        <v>0</v>
      </c>
      <c r="G70" s="1">
        <f>1.43/100000</f>
        <v>1.4299999999999999E-5</v>
      </c>
      <c r="J70" s="160">
        <v>1032343</v>
      </c>
    </row>
    <row r="71" spans="1:10" s="58" customFormat="1" ht="15.75" thickBot="1" x14ac:dyDescent="0.3">
      <c r="A71" s="5" t="s">
        <v>79</v>
      </c>
      <c r="B71" s="5"/>
      <c r="C71" s="5"/>
      <c r="D71" s="5"/>
      <c r="E71" s="162">
        <f t="shared" si="4"/>
        <v>0</v>
      </c>
      <c r="F71" s="161">
        <f t="shared" si="5"/>
        <v>0</v>
      </c>
      <c r="G71" s="1">
        <f>2.78/100000</f>
        <v>2.7799999999999998E-5</v>
      </c>
      <c r="J71" s="160">
        <v>2023767</v>
      </c>
    </row>
    <row r="72" spans="1:10" s="58" customFormat="1" ht="15.75" thickBot="1" x14ac:dyDescent="0.3">
      <c r="A72" s="5" t="s">
        <v>80</v>
      </c>
      <c r="B72" s="5"/>
      <c r="C72" s="5"/>
      <c r="D72" s="5"/>
      <c r="E72" s="162">
        <f t="shared" si="4"/>
        <v>0</v>
      </c>
      <c r="F72" s="161">
        <f t="shared" si="5"/>
        <v>0</v>
      </c>
      <c r="G72" s="1">
        <f>9.07/1000000</f>
        <v>9.0699999999999996E-6</v>
      </c>
      <c r="J72" s="160">
        <v>658698</v>
      </c>
    </row>
    <row r="73" spans="1:10" s="58" customFormat="1" ht="15.75" thickBot="1" x14ac:dyDescent="0.3">
      <c r="A73" s="5" t="s">
        <v>81</v>
      </c>
      <c r="B73" s="5"/>
      <c r="C73" s="5"/>
      <c r="D73" s="5"/>
      <c r="E73" s="162">
        <f t="shared" si="4"/>
        <v>0</v>
      </c>
      <c r="F73" s="161">
        <f t="shared" si="5"/>
        <v>0</v>
      </c>
      <c r="G73" s="1">
        <f>3.17/100000</f>
        <v>3.1699999999999998E-5</v>
      </c>
      <c r="J73" s="160">
        <v>575926</v>
      </c>
    </row>
    <row r="74" spans="1:10" s="58" customFormat="1" ht="15.75" thickBot="1" x14ac:dyDescent="0.3">
      <c r="A74" s="5" t="s">
        <v>82</v>
      </c>
      <c r="B74" s="5"/>
      <c r="C74" s="5"/>
      <c r="D74" s="5"/>
      <c r="E74" s="162">
        <f t="shared" si="4"/>
        <v>0</v>
      </c>
      <c r="F74" s="161">
        <f t="shared" si="5"/>
        <v>0</v>
      </c>
      <c r="G74" s="1">
        <f>3.47/100000</f>
        <v>3.4700000000000003E-5</v>
      </c>
      <c r="J74" s="160">
        <v>587786</v>
      </c>
    </row>
    <row r="75" spans="1:10" s="58" customFormat="1" ht="26.25" thickBot="1" x14ac:dyDescent="0.3">
      <c r="A75" s="5" t="s">
        <v>83</v>
      </c>
      <c r="B75" s="5"/>
      <c r="C75" s="5"/>
      <c r="D75" s="5"/>
      <c r="E75" s="162">
        <f t="shared" si="4"/>
        <v>0</v>
      </c>
      <c r="F75" s="161">
        <f t="shared" si="5"/>
        <v>0</v>
      </c>
      <c r="G75" s="1">
        <f>7.3/100000</f>
        <v>7.2999999999999999E-5</v>
      </c>
      <c r="J75" s="160">
        <v>41383</v>
      </c>
    </row>
    <row r="76" spans="1:10" s="58" customFormat="1" ht="15.75" thickBot="1" x14ac:dyDescent="0.3">
      <c r="A76" s="5" t="s">
        <v>84</v>
      </c>
      <c r="B76" s="5"/>
      <c r="C76" s="5"/>
      <c r="D76" s="5"/>
      <c r="E76" s="162">
        <f t="shared" si="4"/>
        <v>0</v>
      </c>
      <c r="F76" s="161">
        <f t="shared" si="5"/>
        <v>0</v>
      </c>
      <c r="G76" s="1">
        <f>6.26/1000000</f>
        <v>6.2600000000000002E-6</v>
      </c>
      <c r="J76" s="160">
        <v>5600044</v>
      </c>
    </row>
    <row r="77" spans="1:10" s="58" customFormat="1" ht="15.75" thickBot="1" x14ac:dyDescent="0.3">
      <c r="A77" s="164" t="s">
        <v>121</v>
      </c>
      <c r="B77" s="157">
        <f>SUM(B78:B95)</f>
        <v>0</v>
      </c>
      <c r="C77" s="157">
        <f>SUM(C78:C95)</f>
        <v>0</v>
      </c>
      <c r="D77" s="157">
        <f>SUM(D78:D95)</f>
        <v>0</v>
      </c>
      <c r="E77" s="157">
        <f t="shared" si="4"/>
        <v>0</v>
      </c>
      <c r="F77" s="158">
        <f t="shared" si="5"/>
        <v>0</v>
      </c>
      <c r="G77" s="71" t="s">
        <v>530</v>
      </c>
      <c r="J77" s="163">
        <f>SUM(J78:J95)</f>
        <v>40240256</v>
      </c>
    </row>
    <row r="78" spans="1:10" s="58" customFormat="1" ht="15.75" thickBot="1" x14ac:dyDescent="0.3">
      <c r="A78" s="5" t="s">
        <v>85</v>
      </c>
      <c r="B78" s="5"/>
      <c r="C78" s="5"/>
      <c r="D78" s="5"/>
      <c r="E78" s="162">
        <f t="shared" si="4"/>
        <v>0</v>
      </c>
      <c r="F78" s="161">
        <f t="shared" si="5"/>
        <v>0</v>
      </c>
      <c r="G78" s="1">
        <f>5.32/1000000</f>
        <v>5.3199999999999999E-6</v>
      </c>
      <c r="J78" s="160">
        <v>1514527</v>
      </c>
    </row>
    <row r="79" spans="1:10" s="58" customFormat="1" ht="15.75" thickBot="1" x14ac:dyDescent="0.3">
      <c r="A79" s="5" t="s">
        <v>86</v>
      </c>
      <c r="B79" s="5"/>
      <c r="C79" s="5"/>
      <c r="D79" s="5"/>
      <c r="E79" s="162">
        <f t="shared" si="4"/>
        <v>0</v>
      </c>
      <c r="F79" s="161">
        <f t="shared" si="5"/>
        <v>0</v>
      </c>
      <c r="G79" s="1">
        <f>1.09/100000</f>
        <v>1.0900000000000001E-5</v>
      </c>
      <c r="J79" s="160">
        <v>1152505</v>
      </c>
    </row>
    <row r="80" spans="1:10" s="58" customFormat="1" ht="15.75" thickBot="1" x14ac:dyDescent="0.3">
      <c r="A80" s="5" t="s">
        <v>87</v>
      </c>
      <c r="B80" s="5"/>
      <c r="C80" s="5"/>
      <c r="D80" s="5"/>
      <c r="E80" s="162">
        <f t="shared" si="4"/>
        <v>0</v>
      </c>
      <c r="F80" s="161">
        <f t="shared" si="5"/>
        <v>0</v>
      </c>
      <c r="G80" s="1">
        <f>1.17/100000</f>
        <v>1.17E-5</v>
      </c>
      <c r="J80" s="160">
        <v>1325510</v>
      </c>
    </row>
    <row r="81" spans="1:10" s="58" customFormat="1" ht="15.75" thickBot="1" x14ac:dyDescent="0.3">
      <c r="A81" s="5" t="s">
        <v>88</v>
      </c>
      <c r="B81" s="5"/>
      <c r="C81" s="5"/>
      <c r="D81" s="5"/>
      <c r="E81" s="162">
        <f t="shared" si="4"/>
        <v>0</v>
      </c>
      <c r="F81" s="161">
        <f t="shared" si="5"/>
        <v>0</v>
      </c>
      <c r="G81" s="1">
        <f>5.72/1000000</f>
        <v>5.7199999999999994E-6</v>
      </c>
      <c r="J81" s="160">
        <v>2285282</v>
      </c>
    </row>
    <row r="82" spans="1:10" s="58" customFormat="1" ht="15.75" thickBot="1" x14ac:dyDescent="0.3">
      <c r="A82" s="5" t="s">
        <v>89</v>
      </c>
      <c r="B82" s="5"/>
      <c r="C82" s="5"/>
      <c r="D82" s="5"/>
      <c r="E82" s="162">
        <f t="shared" si="4"/>
        <v>0</v>
      </c>
      <c r="F82" s="161">
        <f t="shared" si="5"/>
        <v>0</v>
      </c>
      <c r="G82" s="1">
        <f>1.76/100000</f>
        <v>1.7600000000000001E-5</v>
      </c>
      <c r="J82" s="160">
        <v>914725</v>
      </c>
    </row>
    <row r="83" spans="1:10" s="58" customFormat="1" ht="15.75" thickBot="1" x14ac:dyDescent="0.3">
      <c r="A83" s="5" t="s">
        <v>90</v>
      </c>
      <c r="B83" s="5"/>
      <c r="C83" s="5"/>
      <c r="D83" s="5"/>
      <c r="E83" s="162">
        <f t="shared" si="4"/>
        <v>0</v>
      </c>
      <c r="F83" s="161">
        <f t="shared" si="5"/>
        <v>0</v>
      </c>
      <c r="G83" s="1">
        <f>1.51/100000</f>
        <v>1.5099999999999999E-5</v>
      </c>
      <c r="J83" s="160">
        <v>1070853</v>
      </c>
    </row>
    <row r="84" spans="1:10" s="58" customFormat="1" ht="15.75" thickBot="1" x14ac:dyDescent="0.3">
      <c r="A84" s="5" t="s">
        <v>91</v>
      </c>
      <c r="B84" s="5"/>
      <c r="C84" s="5"/>
      <c r="D84" s="5"/>
      <c r="E84" s="162">
        <f t="shared" si="4"/>
        <v>0</v>
      </c>
      <c r="F84" s="161">
        <f t="shared" si="5"/>
        <v>0</v>
      </c>
      <c r="G84" s="1">
        <f>1.4/100000</f>
        <v>1.4E-5</v>
      </c>
      <c r="J84" s="160">
        <v>571900</v>
      </c>
    </row>
    <row r="85" spans="1:10" s="58" customFormat="1" ht="15.75" thickBot="1" x14ac:dyDescent="0.3">
      <c r="A85" s="5" t="s">
        <v>92</v>
      </c>
      <c r="B85" s="5"/>
      <c r="C85" s="5"/>
      <c r="D85" s="5"/>
      <c r="E85" s="162">
        <f t="shared" si="4"/>
        <v>0</v>
      </c>
      <c r="F85" s="161">
        <f t="shared" si="5"/>
        <v>0</v>
      </c>
      <c r="G85" s="1">
        <f>6.92/1000000</f>
        <v>6.9199999999999998E-6</v>
      </c>
      <c r="J85" s="160">
        <v>1067034</v>
      </c>
    </row>
    <row r="86" spans="1:10" s="58" customFormat="1" ht="15.75" thickBot="1" x14ac:dyDescent="0.3">
      <c r="A86" s="5" t="s">
        <v>93</v>
      </c>
      <c r="B86" s="5"/>
      <c r="C86" s="5"/>
      <c r="D86" s="5"/>
      <c r="E86" s="162">
        <f t="shared" si="4"/>
        <v>0</v>
      </c>
      <c r="F86" s="161">
        <f t="shared" si="5"/>
        <v>0</v>
      </c>
      <c r="G86" s="1">
        <f>1.02/100000</f>
        <v>1.0200000000000001E-5</v>
      </c>
      <c r="J86" s="160">
        <v>1126263</v>
      </c>
    </row>
    <row r="87" spans="1:10" s="58" customFormat="1" ht="15.75" thickBot="1" x14ac:dyDescent="0.3">
      <c r="A87" s="5" t="s">
        <v>94</v>
      </c>
      <c r="B87" s="5"/>
      <c r="C87" s="5"/>
      <c r="D87" s="5"/>
      <c r="E87" s="162">
        <f t="shared" si="4"/>
        <v>0</v>
      </c>
      <c r="F87" s="161">
        <f t="shared" si="5"/>
        <v>0</v>
      </c>
      <c r="G87" s="1">
        <f>1.29/100000</f>
        <v>1.29E-5</v>
      </c>
      <c r="J87" s="160">
        <v>8591736</v>
      </c>
    </row>
    <row r="88" spans="1:10" s="58" customFormat="1" ht="15.75" thickBot="1" x14ac:dyDescent="0.3">
      <c r="A88" s="5" t="s">
        <v>95</v>
      </c>
      <c r="B88" s="5"/>
      <c r="C88" s="5"/>
      <c r="D88" s="5"/>
      <c r="E88" s="162">
        <f t="shared" si="4"/>
        <v>0</v>
      </c>
      <c r="F88" s="161">
        <f t="shared" si="5"/>
        <v>0</v>
      </c>
      <c r="G88" s="1">
        <f>1.53/100000</f>
        <v>1.5299999999999999E-5</v>
      </c>
      <c r="J88" s="160">
        <v>700276</v>
      </c>
    </row>
    <row r="89" spans="1:10" s="58" customFormat="1" ht="15.75" thickBot="1" x14ac:dyDescent="0.3">
      <c r="A89" s="5" t="s">
        <v>96</v>
      </c>
      <c r="B89" s="5"/>
      <c r="C89" s="5"/>
      <c r="D89" s="5"/>
      <c r="E89" s="162">
        <f t="shared" si="4"/>
        <v>0</v>
      </c>
      <c r="F89" s="161">
        <f t="shared" si="5"/>
        <v>0</v>
      </c>
      <c r="G89" s="1">
        <f>1.69/100000</f>
        <v>1.6900000000000001E-5</v>
      </c>
      <c r="J89" s="160">
        <v>1088918</v>
      </c>
    </row>
    <row r="90" spans="1:10" s="58" customFormat="1" ht="15.75" thickBot="1" x14ac:dyDescent="0.3">
      <c r="A90" s="5" t="s">
        <v>97</v>
      </c>
      <c r="B90" s="5"/>
      <c r="C90" s="5"/>
      <c r="D90" s="5"/>
      <c r="E90" s="162">
        <f t="shared" si="4"/>
        <v>0</v>
      </c>
      <c r="F90" s="161">
        <f t="shared" si="5"/>
        <v>0</v>
      </c>
      <c r="G90" s="1">
        <f>1.31/100000</f>
        <v>1.31E-5</v>
      </c>
      <c r="J90" s="160">
        <v>873041</v>
      </c>
    </row>
    <row r="91" spans="1:10" s="58" customFormat="1" ht="15.75" thickBot="1" x14ac:dyDescent="0.3">
      <c r="A91" s="5" t="s">
        <v>98</v>
      </c>
      <c r="B91" s="5"/>
      <c r="C91" s="5"/>
      <c r="D91" s="5"/>
      <c r="E91" s="162">
        <f t="shared" si="4"/>
        <v>0</v>
      </c>
      <c r="F91" s="161">
        <f t="shared" si="5"/>
        <v>0</v>
      </c>
      <c r="G91" s="1">
        <f>8.15/1000000</f>
        <v>8.1499999999999999E-6</v>
      </c>
      <c r="J91" s="160">
        <v>966250</v>
      </c>
    </row>
    <row r="92" spans="1:10" s="58" customFormat="1" ht="15.75" thickBot="1" x14ac:dyDescent="0.3">
      <c r="A92" s="5" t="s">
        <v>99</v>
      </c>
      <c r="B92" s="5"/>
      <c r="C92" s="5"/>
      <c r="D92" s="5"/>
      <c r="E92" s="162">
        <f t="shared" si="4"/>
        <v>0</v>
      </c>
      <c r="F92" s="161">
        <f t="shared" si="5"/>
        <v>0</v>
      </c>
      <c r="G92" s="1">
        <f>1.82/100000</f>
        <v>1.8200000000000002E-5</v>
      </c>
      <c r="J92" s="160">
        <v>1211183</v>
      </c>
    </row>
    <row r="93" spans="1:10" s="58" customFormat="1" ht="15.75" thickBot="1" x14ac:dyDescent="0.3">
      <c r="A93" s="5" t="s">
        <v>100</v>
      </c>
      <c r="B93" s="5"/>
      <c r="C93" s="5"/>
      <c r="D93" s="5"/>
      <c r="E93" s="162">
        <f t="shared" si="4"/>
        <v>0</v>
      </c>
      <c r="F93" s="161">
        <f t="shared" si="5"/>
        <v>0</v>
      </c>
      <c r="G93" s="1">
        <f>1.49/100000</f>
        <v>1.49E-5</v>
      </c>
      <c r="J93" s="160">
        <v>1481471</v>
      </c>
    </row>
    <row r="94" spans="1:10" s="58" customFormat="1" ht="15.75" thickBot="1" x14ac:dyDescent="0.3">
      <c r="A94" s="5" t="s">
        <v>101</v>
      </c>
      <c r="B94" s="5"/>
      <c r="C94" s="5"/>
      <c r="D94" s="5"/>
      <c r="E94" s="162">
        <f t="shared" si="4"/>
        <v>0</v>
      </c>
      <c r="F94" s="161">
        <f t="shared" si="5"/>
        <v>0</v>
      </c>
      <c r="G94" s="1">
        <f>1.43/100000</f>
        <v>1.4299999999999999E-5</v>
      </c>
      <c r="J94" s="160">
        <v>1194605</v>
      </c>
    </row>
    <row r="95" spans="1:10" s="58" customFormat="1" ht="15.75" thickBot="1" x14ac:dyDescent="0.3">
      <c r="A95" s="5" t="s">
        <v>102</v>
      </c>
      <c r="B95" s="5"/>
      <c r="C95" s="5"/>
      <c r="D95" s="5"/>
      <c r="E95" s="162">
        <f t="shared" si="4"/>
        <v>0</v>
      </c>
      <c r="F95" s="161">
        <f t="shared" si="5"/>
        <v>0</v>
      </c>
      <c r="G95" s="1">
        <f>6.42/1000000</f>
        <v>6.4199999999999995E-6</v>
      </c>
      <c r="J95" s="160">
        <v>13104177</v>
      </c>
    </row>
    <row r="96" spans="1:10" s="58" customFormat="1" ht="15.75" thickBot="1" x14ac:dyDescent="0.3">
      <c r="A96" s="164"/>
      <c r="B96" s="157">
        <f>SUM(B97:B114)</f>
        <v>0</v>
      </c>
      <c r="C96" s="157">
        <v>0</v>
      </c>
      <c r="D96" s="157">
        <v>0</v>
      </c>
      <c r="E96" s="157">
        <f t="shared" ref="E96:E97" si="6">B96+C96+D96</f>
        <v>0</v>
      </c>
      <c r="F96" s="158">
        <v>0</v>
      </c>
      <c r="G96" s="71" t="s">
        <v>530</v>
      </c>
      <c r="J96" s="160"/>
    </row>
    <row r="97" spans="1:14" s="58" customFormat="1" ht="15.75" thickBot="1" x14ac:dyDescent="0.3">
      <c r="A97" s="11" t="s">
        <v>608</v>
      </c>
      <c r="B97" s="5"/>
      <c r="C97" s="5"/>
      <c r="D97" s="5"/>
      <c r="E97" s="162">
        <f t="shared" si="6"/>
        <v>0</v>
      </c>
      <c r="F97" s="161">
        <v>0</v>
      </c>
      <c r="G97" s="1">
        <f>5.32/1000000</f>
        <v>5.3199999999999999E-6</v>
      </c>
      <c r="J97" s="160">
        <v>1</v>
      </c>
    </row>
    <row r="98" spans="1:14" s="58" customFormat="1" ht="15.75" thickBot="1" x14ac:dyDescent="0.3">
      <c r="A98" s="11" t="s">
        <v>609</v>
      </c>
      <c r="B98" s="5"/>
      <c r="C98" s="5"/>
      <c r="D98" s="5"/>
      <c r="E98" s="162">
        <f t="shared" ref="E98:E100" si="7">B98+C98+D98</f>
        <v>0</v>
      </c>
      <c r="F98" s="161">
        <v>0</v>
      </c>
      <c r="G98" s="1">
        <f t="shared" ref="G98:G100" si="8">5.32/1000000</f>
        <v>5.3199999999999999E-6</v>
      </c>
      <c r="J98" s="160">
        <v>1</v>
      </c>
    </row>
    <row r="99" spans="1:14" s="58" customFormat="1" ht="15.75" thickBot="1" x14ac:dyDescent="0.3">
      <c r="A99" s="11" t="s">
        <v>610</v>
      </c>
      <c r="B99" s="5"/>
      <c r="C99" s="5"/>
      <c r="D99" s="5"/>
      <c r="E99" s="162">
        <f t="shared" si="7"/>
        <v>0</v>
      </c>
      <c r="F99" s="161">
        <v>0</v>
      </c>
      <c r="G99" s="1">
        <f t="shared" si="8"/>
        <v>5.3199999999999999E-6</v>
      </c>
      <c r="J99" s="160">
        <v>1</v>
      </c>
    </row>
    <row r="100" spans="1:14" s="58" customFormat="1" ht="15.75" thickBot="1" x14ac:dyDescent="0.3">
      <c r="A100" s="11" t="s">
        <v>611</v>
      </c>
      <c r="B100" s="5"/>
      <c r="C100" s="5"/>
      <c r="D100" s="5"/>
      <c r="E100" s="162">
        <f t="shared" si="7"/>
        <v>0</v>
      </c>
      <c r="F100" s="161">
        <v>0</v>
      </c>
      <c r="G100" s="1">
        <f t="shared" si="8"/>
        <v>5.3199999999999999E-6</v>
      </c>
      <c r="J100" s="160">
        <v>1</v>
      </c>
    </row>
    <row r="101" spans="1:14" s="58" customFormat="1" ht="25.5" customHeight="1" thickBot="1" x14ac:dyDescent="0.3">
      <c r="A101" s="159" t="s">
        <v>247</v>
      </c>
      <c r="B101" s="159">
        <f>B3+B15+B26+B33+B48+B57+B65+B77</f>
        <v>0</v>
      </c>
      <c r="C101" s="159">
        <v>0</v>
      </c>
      <c r="D101" s="159">
        <v>0</v>
      </c>
      <c r="E101" s="157">
        <f t="shared" si="4"/>
        <v>0</v>
      </c>
      <c r="F101" s="158">
        <f t="shared" si="5"/>
        <v>0</v>
      </c>
      <c r="G101" s="157">
        <f>SUM(G77,G65,G57,G48,G33,G26,G15,G3)</f>
        <v>0</v>
      </c>
      <c r="J101" s="156">
        <f>SUM(J77,J65,J57,J48,J33,J26,J15,J3)</f>
        <v>148731547</v>
      </c>
      <c r="L101" s="155">
        <f>199/J101</f>
        <v>1.3379811076664185E-6</v>
      </c>
      <c r="N101" s="155">
        <f>7718/145557576</f>
        <v>5.3023691463507197E-5</v>
      </c>
    </row>
    <row r="102" spans="1:14" x14ac:dyDescent="0.25">
      <c r="G102" s="58"/>
      <c r="L102" s="155">
        <f>7718/J101</f>
        <v>5.1892151703363912E-5</v>
      </c>
      <c r="N102" s="155">
        <f>199/145557576</f>
        <v>1.3671565951331864E-6</v>
      </c>
    </row>
    <row r="103" spans="1:14" x14ac:dyDescent="0.25">
      <c r="G103" s="58"/>
      <c r="L103" s="155">
        <f>3189/J101</f>
        <v>2.1441315338433212E-5</v>
      </c>
      <c r="N103" s="155">
        <f>3189/145557576</f>
        <v>2.1908856190350407E-5</v>
      </c>
    </row>
    <row r="104" spans="1:14" x14ac:dyDescent="0.25">
      <c r="G104" s="58"/>
      <c r="L104" s="155">
        <f>11106/J101</f>
        <v>7.4671448149463547E-5</v>
      </c>
      <c r="N104" s="155">
        <f>11106/145557576</f>
        <v>7.6299704248990785E-5</v>
      </c>
    </row>
    <row r="105" spans="1:14" x14ac:dyDescent="0.25">
      <c r="G105" s="58"/>
    </row>
    <row r="106" spans="1:14" x14ac:dyDescent="0.25">
      <c r="G106" s="58"/>
    </row>
    <row r="107" spans="1:14" x14ac:dyDescent="0.25">
      <c r="G107" s="58"/>
    </row>
    <row r="108" spans="1:14" x14ac:dyDescent="0.25">
      <c r="G108" s="58"/>
    </row>
  </sheetData>
  <mergeCells count="3">
    <mergeCell ref="A1:A2"/>
    <mergeCell ref="B1:E1"/>
    <mergeCell ref="F1:G1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V96"/>
  <sheetViews>
    <sheetView zoomScale="80" zoomScaleNormal="80" workbookViewId="0">
      <selection activeCell="T9" sqref="T9"/>
    </sheetView>
  </sheetViews>
  <sheetFormatPr defaultRowHeight="15" x14ac:dyDescent="0.25"/>
  <cols>
    <col min="1" max="1" width="8.85546875" customWidth="1"/>
    <col min="2" max="2" width="36.5703125" customWidth="1"/>
  </cols>
  <sheetData>
    <row r="1" spans="2:22" s="58" customFormat="1" ht="15.75" customHeight="1" x14ac:dyDescent="0.25"/>
    <row r="2" spans="2:22" s="58" customFormat="1" ht="30.75" customHeight="1" x14ac:dyDescent="0.25"/>
    <row r="3" spans="2:22" s="58" customFormat="1" x14ac:dyDescent="0.25"/>
    <row r="4" spans="2:22" s="58" customFormat="1" x14ac:dyDescent="0.25"/>
    <row r="5" spans="2:22" s="58" customFormat="1" x14ac:dyDescent="0.25"/>
    <row r="6" spans="2:22" s="58" customFormat="1" x14ac:dyDescent="0.25"/>
    <row r="7" spans="2:22" s="58" customFormat="1" x14ac:dyDescent="0.25"/>
    <row r="8" spans="2:22" s="58" customFormat="1" x14ac:dyDescent="0.25"/>
    <row r="9" spans="2:22" s="58" customFormat="1" x14ac:dyDescent="0.25"/>
    <row r="10" spans="2:22" s="58" customFormat="1" x14ac:dyDescent="0.25"/>
    <row r="11" spans="2:22" s="58" customFormat="1" x14ac:dyDescent="0.25"/>
    <row r="12" spans="2:22" s="58" customFormat="1" x14ac:dyDescent="0.25"/>
    <row r="13" spans="2:22" s="58" customFormat="1" x14ac:dyDescent="0.25"/>
    <row r="14" spans="2:22" s="58" customFormat="1" x14ac:dyDescent="0.25"/>
    <row r="15" spans="2:22" s="58" customFormat="1" x14ac:dyDescent="0.25"/>
    <row r="16" spans="2:22" s="58" customFormat="1" x14ac:dyDescent="0.25">
      <c r="B16" s="93" t="s">
        <v>548</v>
      </c>
      <c r="C16" s="140">
        <v>2004</v>
      </c>
      <c r="D16" s="140">
        <v>2005</v>
      </c>
      <c r="E16" s="140">
        <v>2006</v>
      </c>
      <c r="F16" s="140">
        <v>2007</v>
      </c>
      <c r="G16" s="140">
        <v>2008</v>
      </c>
      <c r="H16" s="140">
        <v>2009</v>
      </c>
      <c r="I16" s="140">
        <v>2010</v>
      </c>
      <c r="J16" s="140">
        <v>2011</v>
      </c>
      <c r="K16" s="140">
        <v>2012</v>
      </c>
      <c r="L16" s="140">
        <v>2013</v>
      </c>
      <c r="M16" s="140">
        <v>2014</v>
      </c>
      <c r="N16" s="140">
        <v>2015</v>
      </c>
      <c r="O16" s="140">
        <v>2016</v>
      </c>
      <c r="P16" s="140">
        <v>2017</v>
      </c>
      <c r="Q16" s="140">
        <v>2018</v>
      </c>
      <c r="R16" s="140">
        <v>2019</v>
      </c>
      <c r="S16" s="140">
        <v>2020</v>
      </c>
      <c r="T16" s="140">
        <v>2021</v>
      </c>
      <c r="U16" s="140">
        <v>2022</v>
      </c>
      <c r="V16" s="140">
        <v>2023</v>
      </c>
    </row>
    <row r="17" spans="2:22" s="58" customFormat="1" x14ac:dyDescent="0.25">
      <c r="B17" s="135" t="s">
        <v>614</v>
      </c>
      <c r="C17" s="174">
        <v>1</v>
      </c>
      <c r="D17" s="174">
        <v>0.95</v>
      </c>
      <c r="E17" s="174">
        <v>0.92</v>
      </c>
      <c r="F17" s="174">
        <v>0.85</v>
      </c>
      <c r="G17" s="174">
        <v>0.82</v>
      </c>
      <c r="H17" s="174">
        <v>0.76</v>
      </c>
      <c r="I17" s="174">
        <v>0.71</v>
      </c>
      <c r="J17" s="174">
        <v>0.64</v>
      </c>
      <c r="K17" s="174">
        <v>0.61</v>
      </c>
      <c r="L17" s="174">
        <v>0.56999999999999995</v>
      </c>
      <c r="M17" s="174">
        <v>0.54</v>
      </c>
      <c r="N17" s="174">
        <v>0.47</v>
      </c>
      <c r="O17" s="174">
        <v>0.45</v>
      </c>
      <c r="P17" s="174">
        <v>0.38</v>
      </c>
      <c r="Q17" s="174">
        <v>0.4</v>
      </c>
      <c r="R17" s="174">
        <v>0.44</v>
      </c>
      <c r="S17" s="174">
        <v>0.43</v>
      </c>
      <c r="T17" s="174">
        <v>0.6</v>
      </c>
      <c r="U17" s="174">
        <v>0.52</v>
      </c>
      <c r="V17" s="174"/>
    </row>
    <row r="18" spans="2:22" s="58" customFormat="1" x14ac:dyDescent="0.25">
      <c r="B18" s="135" t="s">
        <v>615</v>
      </c>
      <c r="C18" s="174">
        <v>1</v>
      </c>
      <c r="D18" s="174">
        <v>0.72</v>
      </c>
      <c r="E18" s="174">
        <v>1.3</v>
      </c>
      <c r="F18" s="174">
        <v>0.75</v>
      </c>
      <c r="G18" s="174">
        <v>0.63</v>
      </c>
      <c r="H18" s="174">
        <v>0.6</v>
      </c>
      <c r="I18" s="174">
        <v>0.54</v>
      </c>
      <c r="J18" s="174">
        <v>0.63</v>
      </c>
      <c r="K18" s="174">
        <v>0.64</v>
      </c>
      <c r="L18" s="174">
        <v>0.49</v>
      </c>
      <c r="M18" s="174">
        <v>0.44</v>
      </c>
      <c r="N18" s="174">
        <v>0.51</v>
      </c>
      <c r="O18" s="174">
        <v>0.6</v>
      </c>
      <c r="P18" s="174">
        <v>0.44</v>
      </c>
      <c r="Q18" s="174">
        <v>0.63</v>
      </c>
      <c r="R18" s="174">
        <v>0.39</v>
      </c>
      <c r="S18" s="174">
        <v>0.23</v>
      </c>
      <c r="T18" s="174">
        <v>0.28000000000000003</v>
      </c>
      <c r="U18" s="174">
        <v>0.13</v>
      </c>
      <c r="V18" s="174"/>
    </row>
    <row r="19" spans="2:22" s="58" customFormat="1" x14ac:dyDescent="0.25">
      <c r="B19" s="135" t="s">
        <v>616</v>
      </c>
      <c r="C19" s="174">
        <v>1</v>
      </c>
      <c r="D19" s="174">
        <v>0.93</v>
      </c>
      <c r="E19" s="174">
        <v>0.67</v>
      </c>
      <c r="F19" s="174">
        <v>0.65</v>
      </c>
      <c r="G19" s="174">
        <v>0.57999999999999996</v>
      </c>
      <c r="H19" s="174">
        <v>0.6</v>
      </c>
      <c r="I19" s="174">
        <v>0.67</v>
      </c>
      <c r="J19" s="174">
        <v>0.53</v>
      </c>
      <c r="K19" s="174">
        <v>0.49</v>
      </c>
      <c r="L19" s="174">
        <v>0.45</v>
      </c>
      <c r="M19" s="174">
        <v>0.44</v>
      </c>
      <c r="N19" s="174">
        <v>0.4</v>
      </c>
      <c r="O19" s="174">
        <v>0.37</v>
      </c>
      <c r="P19" s="174">
        <v>0.31</v>
      </c>
      <c r="Q19" s="174">
        <v>0.32</v>
      </c>
      <c r="R19" s="174">
        <v>0.25</v>
      </c>
      <c r="S19" s="174">
        <v>0.26</v>
      </c>
      <c r="T19" s="174">
        <v>0.28999999999999998</v>
      </c>
      <c r="U19" s="174">
        <v>0.21</v>
      </c>
      <c r="V19" s="174"/>
    </row>
    <row r="20" spans="2:22" s="58" customFormat="1" x14ac:dyDescent="0.25">
      <c r="B20" s="135" t="s">
        <v>617</v>
      </c>
      <c r="C20" s="174">
        <v>1</v>
      </c>
      <c r="D20" s="174">
        <v>0.9</v>
      </c>
      <c r="E20" s="174">
        <v>0.97</v>
      </c>
      <c r="F20" s="174">
        <v>0.75</v>
      </c>
      <c r="G20" s="174">
        <v>0.7</v>
      </c>
      <c r="H20" s="174">
        <v>0.69</v>
      </c>
      <c r="I20" s="174">
        <v>0.69</v>
      </c>
      <c r="J20" s="174">
        <v>0.68</v>
      </c>
      <c r="K20" s="174">
        <v>0.67</v>
      </c>
      <c r="L20" s="174">
        <v>0.6</v>
      </c>
      <c r="M20" s="174">
        <v>0.6</v>
      </c>
      <c r="N20" s="174">
        <v>0.6</v>
      </c>
      <c r="O20" s="174">
        <v>0.63</v>
      </c>
      <c r="P20" s="174">
        <v>0.4</v>
      </c>
      <c r="Q20" s="174">
        <v>0.6</v>
      </c>
      <c r="R20" s="174">
        <v>0.45</v>
      </c>
      <c r="S20" s="174">
        <v>0.35</v>
      </c>
      <c r="T20" s="174">
        <v>0.4</v>
      </c>
      <c r="U20" s="174">
        <v>0.75</v>
      </c>
      <c r="V20" s="174"/>
    </row>
    <row r="21" spans="2:22" s="58" customFormat="1" x14ac:dyDescent="0.25"/>
    <row r="22" spans="2:22" s="58" customFormat="1" x14ac:dyDescent="0.25"/>
    <row r="23" spans="2:22" s="58" customFormat="1" x14ac:dyDescent="0.25"/>
    <row r="24" spans="2:22" s="58" customFormat="1" x14ac:dyDescent="0.25"/>
    <row r="25" spans="2:22" s="58" customFormat="1" x14ac:dyDescent="0.25"/>
    <row r="26" spans="2:22" s="58" customFormat="1" x14ac:dyDescent="0.25"/>
    <row r="27" spans="2:22" s="58" customFormat="1" x14ac:dyDescent="0.25"/>
    <row r="28" spans="2:22" s="58" customFormat="1" x14ac:dyDescent="0.25"/>
    <row r="29" spans="2:22" s="58" customFormat="1" x14ac:dyDescent="0.25"/>
    <row r="30" spans="2:22" s="58" customFormat="1" x14ac:dyDescent="0.25"/>
    <row r="31" spans="2:22" s="58" customFormat="1" x14ac:dyDescent="0.25"/>
    <row r="32" spans="2:22" s="58" customFormat="1" x14ac:dyDescent="0.25"/>
    <row r="33" s="58" customFormat="1" x14ac:dyDescent="0.25"/>
    <row r="34" s="58" customFormat="1" x14ac:dyDescent="0.25"/>
    <row r="35" s="58" customFormat="1" x14ac:dyDescent="0.25"/>
    <row r="36" s="58" customFormat="1" x14ac:dyDescent="0.25"/>
    <row r="37" s="58" customFormat="1" x14ac:dyDescent="0.25"/>
    <row r="38" s="58" customFormat="1" x14ac:dyDescent="0.25"/>
    <row r="39" s="58" customFormat="1" x14ac:dyDescent="0.25"/>
    <row r="40" s="58" customFormat="1" x14ac:dyDescent="0.25"/>
    <row r="41" s="58" customFormat="1" x14ac:dyDescent="0.25"/>
    <row r="42" s="58" customFormat="1" x14ac:dyDescent="0.25"/>
    <row r="43" s="58" customFormat="1" x14ac:dyDescent="0.25"/>
    <row r="44" s="58" customFormat="1" x14ac:dyDescent="0.25"/>
    <row r="45" s="58" customFormat="1" x14ac:dyDescent="0.25"/>
    <row r="46" s="58" customFormat="1" x14ac:dyDescent="0.25"/>
    <row r="47" s="58" customFormat="1" x14ac:dyDescent="0.25"/>
    <row r="48" s="58" customFormat="1" x14ac:dyDescent="0.25"/>
    <row r="49" s="58" customFormat="1" x14ac:dyDescent="0.25"/>
    <row r="50" s="58" customFormat="1" x14ac:dyDescent="0.25"/>
    <row r="51" s="58" customFormat="1" x14ac:dyDescent="0.25"/>
    <row r="52" s="58" customFormat="1" x14ac:dyDescent="0.25"/>
    <row r="53" s="58" customFormat="1" x14ac:dyDescent="0.25"/>
    <row r="54" s="58" customFormat="1" x14ac:dyDescent="0.25"/>
    <row r="55" s="58" customFormat="1" x14ac:dyDescent="0.25"/>
    <row r="56" s="58" customFormat="1" x14ac:dyDescent="0.25"/>
    <row r="57" s="58" customFormat="1" x14ac:dyDescent="0.25"/>
    <row r="58" s="58" customFormat="1" x14ac:dyDescent="0.25"/>
    <row r="59" s="58" customFormat="1" x14ac:dyDescent="0.25"/>
    <row r="60" s="58" customFormat="1" x14ac:dyDescent="0.25"/>
    <row r="61" s="58" customFormat="1" x14ac:dyDescent="0.25"/>
    <row r="62" s="58" customFormat="1" x14ac:dyDescent="0.25"/>
    <row r="63" s="58" customFormat="1" x14ac:dyDescent="0.25"/>
    <row r="64" s="58" customFormat="1" x14ac:dyDescent="0.25"/>
    <row r="65" s="58" customFormat="1" x14ac:dyDescent="0.25"/>
    <row r="66" s="58" customFormat="1" x14ac:dyDescent="0.25"/>
    <row r="67" s="58" customFormat="1" x14ac:dyDescent="0.25"/>
    <row r="68" s="58" customFormat="1" x14ac:dyDescent="0.25"/>
    <row r="69" s="58" customFormat="1" x14ac:dyDescent="0.25"/>
    <row r="70" s="58" customFormat="1" x14ac:dyDescent="0.25"/>
    <row r="71" s="58" customFormat="1" x14ac:dyDescent="0.25"/>
    <row r="72" s="58" customFormat="1" x14ac:dyDescent="0.25"/>
    <row r="73" s="58" customFormat="1" x14ac:dyDescent="0.25"/>
    <row r="74" s="58" customFormat="1" x14ac:dyDescent="0.25"/>
    <row r="75" s="58" customFormat="1" x14ac:dyDescent="0.25"/>
    <row r="76" s="58" customFormat="1" x14ac:dyDescent="0.25"/>
    <row r="77" s="58" customFormat="1" x14ac:dyDescent="0.25"/>
    <row r="78" s="58" customFormat="1" x14ac:dyDescent="0.25"/>
    <row r="79" s="58" customFormat="1" x14ac:dyDescent="0.25"/>
    <row r="80" s="58" customFormat="1" x14ac:dyDescent="0.25"/>
    <row r="81" s="58" customFormat="1" x14ac:dyDescent="0.25"/>
    <row r="82" s="58" customFormat="1" x14ac:dyDescent="0.25"/>
    <row r="83" s="58" customFormat="1" x14ac:dyDescent="0.25"/>
    <row r="84" s="58" customFormat="1" x14ac:dyDescent="0.25"/>
    <row r="85" s="58" customFormat="1" x14ac:dyDescent="0.25"/>
    <row r="86" s="58" customFormat="1" x14ac:dyDescent="0.25"/>
    <row r="87" s="58" customFormat="1" x14ac:dyDescent="0.25"/>
    <row r="88" s="58" customFormat="1" x14ac:dyDescent="0.25"/>
    <row r="89" s="58" customFormat="1" x14ac:dyDescent="0.25"/>
    <row r="90" s="58" customFormat="1" x14ac:dyDescent="0.25"/>
    <row r="91" s="58" customFormat="1" x14ac:dyDescent="0.25"/>
    <row r="92" s="58" customFormat="1" x14ac:dyDescent="0.25"/>
    <row r="93" s="58" customFormat="1" x14ac:dyDescent="0.25"/>
    <row r="94" s="58" customFormat="1" x14ac:dyDescent="0.25"/>
    <row r="95" s="58" customFormat="1" x14ac:dyDescent="0.25"/>
    <row r="96" s="58" customFormat="1" x14ac:dyDescent="0.25"/>
  </sheetData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98"/>
  <sheetViews>
    <sheetView zoomScale="80" zoomScaleNormal="80" workbookViewId="0">
      <selection activeCell="U86" sqref="U86"/>
    </sheetView>
  </sheetViews>
  <sheetFormatPr defaultRowHeight="15" x14ac:dyDescent="0.25"/>
  <cols>
    <col min="1" max="1" width="46.85546875" customWidth="1"/>
    <col min="2" max="2" width="8.85546875" customWidth="1"/>
    <col min="3" max="3" width="14.140625" customWidth="1"/>
    <col min="5" max="5" width="15.85546875" customWidth="1"/>
    <col min="7" max="7" width="14.28515625" customWidth="1"/>
    <col min="9" max="9" width="14.7109375" customWidth="1"/>
    <col min="10" max="10" width="17.7109375" customWidth="1"/>
  </cols>
  <sheetData>
    <row r="1" spans="1:20" x14ac:dyDescent="0.25">
      <c r="D1" t="s">
        <v>606</v>
      </c>
      <c r="K1" t="s">
        <v>605</v>
      </c>
    </row>
    <row r="4" spans="1:20" x14ac:dyDescent="0.25">
      <c r="A4" s="14"/>
      <c r="B4" s="14"/>
      <c r="D4">
        <v>1</v>
      </c>
    </row>
    <row r="5" spans="1:20" x14ac:dyDescent="0.25">
      <c r="A5" s="140" t="s">
        <v>604</v>
      </c>
      <c r="B5" s="79" t="s">
        <v>228</v>
      </c>
      <c r="D5">
        <v>1</v>
      </c>
    </row>
    <row r="6" spans="1:20" x14ac:dyDescent="0.25">
      <c r="A6" s="111" t="s">
        <v>603</v>
      </c>
      <c r="B6" s="109"/>
      <c r="D6">
        <v>1</v>
      </c>
    </row>
    <row r="7" spans="1:20" x14ac:dyDescent="0.25">
      <c r="A7" s="111" t="s">
        <v>602</v>
      </c>
      <c r="B7" s="109"/>
      <c r="D7">
        <v>1</v>
      </c>
    </row>
    <row r="8" spans="1:20" ht="26.25" x14ac:dyDescent="0.25">
      <c r="A8" s="135" t="s">
        <v>601</v>
      </c>
      <c r="B8" s="109"/>
    </row>
    <row r="9" spans="1:20" x14ac:dyDescent="0.25">
      <c r="A9" s="14"/>
      <c r="B9" s="14"/>
    </row>
    <row r="10" spans="1:20" x14ac:dyDescent="0.25">
      <c r="A10" s="14"/>
      <c r="B10" s="14"/>
    </row>
    <row r="11" spans="1:20" x14ac:dyDescent="0.25">
      <c r="A11" s="14"/>
      <c r="B11" s="14"/>
    </row>
    <row r="12" spans="1:20" x14ac:dyDescent="0.25">
      <c r="A12" s="14"/>
      <c r="B12" s="14"/>
    </row>
    <row r="13" spans="1:20" ht="26.25" x14ac:dyDescent="0.25">
      <c r="A13" s="140" t="s">
        <v>600</v>
      </c>
      <c r="B13" s="79" t="s">
        <v>228</v>
      </c>
    </row>
    <row r="14" spans="1:20" x14ac:dyDescent="0.25">
      <c r="A14" s="111" t="s">
        <v>554</v>
      </c>
      <c r="B14" s="109"/>
      <c r="D14" t="s">
        <v>599</v>
      </c>
    </row>
    <row r="15" spans="1:20" x14ac:dyDescent="0.25">
      <c r="A15" s="111" t="s">
        <v>553</v>
      </c>
      <c r="B15" s="109"/>
      <c r="T15" t="s">
        <v>598</v>
      </c>
    </row>
    <row r="16" spans="1:20" x14ac:dyDescent="0.25">
      <c r="A16" s="111" t="s">
        <v>552</v>
      </c>
      <c r="B16" s="109"/>
    </row>
    <row r="17" spans="1:11" x14ac:dyDescent="0.25">
      <c r="A17" s="14"/>
      <c r="B17" s="14"/>
    </row>
    <row r="18" spans="1:11" ht="26.25" x14ac:dyDescent="0.25">
      <c r="A18" s="140" t="s">
        <v>597</v>
      </c>
      <c r="B18" s="79" t="s">
        <v>228</v>
      </c>
    </row>
    <row r="19" spans="1:11" x14ac:dyDescent="0.25">
      <c r="A19" s="111" t="s">
        <v>554</v>
      </c>
      <c r="B19" s="109"/>
    </row>
    <row r="20" spans="1:11" x14ac:dyDescent="0.25">
      <c r="A20" s="111" t="s">
        <v>553</v>
      </c>
      <c r="B20" s="109"/>
    </row>
    <row r="21" spans="1:11" x14ac:dyDescent="0.25">
      <c r="A21" s="111" t="s">
        <v>552</v>
      </c>
      <c r="B21" s="109"/>
    </row>
    <row r="22" spans="1:11" x14ac:dyDescent="0.25">
      <c r="A22" s="111" t="s">
        <v>550</v>
      </c>
      <c r="B22" s="109"/>
    </row>
    <row r="23" spans="1:11" x14ac:dyDescent="0.25">
      <c r="A23" s="14"/>
      <c r="B23" s="14"/>
    </row>
    <row r="24" spans="1:11" x14ac:dyDescent="0.25">
      <c r="A24" s="14"/>
      <c r="B24" s="14"/>
    </row>
    <row r="25" spans="1:11" x14ac:dyDescent="0.25">
      <c r="A25" s="14"/>
      <c r="B25" s="14"/>
    </row>
    <row r="26" spans="1:11" ht="26.25" x14ac:dyDescent="0.25">
      <c r="A26" s="140" t="s">
        <v>585</v>
      </c>
      <c r="B26" s="79" t="s">
        <v>228</v>
      </c>
    </row>
    <row r="27" spans="1:11" x14ac:dyDescent="0.25">
      <c r="A27" s="111" t="s">
        <v>596</v>
      </c>
      <c r="B27" s="109"/>
    </row>
    <row r="28" spans="1:11" x14ac:dyDescent="0.25">
      <c r="A28" s="111" t="s">
        <v>595</v>
      </c>
      <c r="B28" s="109"/>
      <c r="D28" t="s">
        <v>594</v>
      </c>
      <c r="K28" t="s">
        <v>593</v>
      </c>
    </row>
    <row r="29" spans="1:11" x14ac:dyDescent="0.25">
      <c r="A29" s="111" t="s">
        <v>592</v>
      </c>
      <c r="B29" s="109"/>
    </row>
    <row r="30" spans="1:11" x14ac:dyDescent="0.25">
      <c r="A30" s="111" t="s">
        <v>591</v>
      </c>
      <c r="B30" s="109"/>
    </row>
    <row r="31" spans="1:11" x14ac:dyDescent="0.25">
      <c r="A31" s="111" t="s">
        <v>590</v>
      </c>
      <c r="B31" s="109"/>
    </row>
    <row r="32" spans="1:11" x14ac:dyDescent="0.25">
      <c r="A32" s="111" t="s">
        <v>589</v>
      </c>
      <c r="B32" s="109"/>
    </row>
    <row r="33" spans="1:19" x14ac:dyDescent="0.25">
      <c r="A33" s="111" t="s">
        <v>588</v>
      </c>
      <c r="B33" s="109"/>
    </row>
    <row r="34" spans="1:19" x14ac:dyDescent="0.25">
      <c r="A34" s="111" t="s">
        <v>587</v>
      </c>
      <c r="B34" s="109"/>
    </row>
    <row r="35" spans="1:19" x14ac:dyDescent="0.25">
      <c r="A35" s="111" t="s">
        <v>586</v>
      </c>
      <c r="B35" s="109"/>
    </row>
    <row r="36" spans="1:19" x14ac:dyDescent="0.25">
      <c r="A36" s="14"/>
      <c r="B36" s="14"/>
    </row>
    <row r="37" spans="1:19" x14ac:dyDescent="0.25">
      <c r="A37" s="14"/>
      <c r="B37" s="14"/>
    </row>
    <row r="38" spans="1:19" x14ac:dyDescent="0.25">
      <c r="A38" s="14"/>
      <c r="B38" s="14"/>
    </row>
    <row r="39" spans="1:19" x14ac:dyDescent="0.25">
      <c r="A39" s="14"/>
      <c r="B39" s="14"/>
    </row>
    <row r="40" spans="1:19" ht="26.25" x14ac:dyDescent="0.25">
      <c r="A40" s="140" t="s">
        <v>585</v>
      </c>
      <c r="B40" s="79" t="s">
        <v>228</v>
      </c>
    </row>
    <row r="41" spans="1:19" x14ac:dyDescent="0.25">
      <c r="A41" s="111" t="s">
        <v>584</v>
      </c>
      <c r="B41" s="109"/>
      <c r="D41" t="s">
        <v>583</v>
      </c>
    </row>
    <row r="42" spans="1:19" ht="26.25" x14ac:dyDescent="0.25">
      <c r="A42" s="135" t="s">
        <v>582</v>
      </c>
      <c r="B42" s="109"/>
      <c r="S42" t="s">
        <v>581</v>
      </c>
    </row>
    <row r="43" spans="1:19" x14ac:dyDescent="0.25">
      <c r="A43" s="111" t="s">
        <v>580</v>
      </c>
      <c r="B43" s="109"/>
    </row>
    <row r="44" spans="1:19" x14ac:dyDescent="0.25">
      <c r="A44" s="14"/>
      <c r="B44" s="14"/>
    </row>
    <row r="45" spans="1:19" ht="26.25" x14ac:dyDescent="0.25">
      <c r="A45" s="140" t="s">
        <v>579</v>
      </c>
      <c r="B45" s="79" t="s">
        <v>228</v>
      </c>
    </row>
    <row r="46" spans="1:19" x14ac:dyDescent="0.25">
      <c r="A46" s="111" t="s">
        <v>578</v>
      </c>
      <c r="B46" s="109"/>
    </row>
    <row r="47" spans="1:19" x14ac:dyDescent="0.25">
      <c r="A47" s="111" t="s">
        <v>577</v>
      </c>
      <c r="B47" s="109"/>
    </row>
    <row r="48" spans="1:19" x14ac:dyDescent="0.25">
      <c r="A48" s="111" t="s">
        <v>576</v>
      </c>
      <c r="B48" s="109"/>
    </row>
    <row r="49" spans="1:19" x14ac:dyDescent="0.25">
      <c r="A49" s="14"/>
      <c r="B49" s="14"/>
    </row>
    <row r="50" spans="1:19" x14ac:dyDescent="0.25">
      <c r="A50" s="140" t="s">
        <v>575</v>
      </c>
      <c r="B50" s="79" t="s">
        <v>228</v>
      </c>
    </row>
    <row r="51" spans="1:19" x14ac:dyDescent="0.25">
      <c r="A51" s="111" t="s">
        <v>554</v>
      </c>
      <c r="B51" s="109"/>
    </row>
    <row r="52" spans="1:19" x14ac:dyDescent="0.25">
      <c r="A52" s="111" t="s">
        <v>553</v>
      </c>
      <c r="B52" s="109"/>
    </row>
    <row r="53" spans="1:19" x14ac:dyDescent="0.25">
      <c r="A53" s="111" t="s">
        <v>552</v>
      </c>
      <c r="B53" s="109"/>
    </row>
    <row r="54" spans="1:19" x14ac:dyDescent="0.25">
      <c r="A54" s="14"/>
      <c r="B54" s="14"/>
    </row>
    <row r="55" spans="1:19" ht="39" x14ac:dyDescent="0.25">
      <c r="A55" s="140" t="s">
        <v>574</v>
      </c>
      <c r="B55" s="79" t="s">
        <v>228</v>
      </c>
    </row>
    <row r="56" spans="1:19" x14ac:dyDescent="0.25">
      <c r="A56" s="111" t="s">
        <v>554</v>
      </c>
      <c r="B56" s="109"/>
      <c r="D56" t="s">
        <v>573</v>
      </c>
    </row>
    <row r="57" spans="1:19" x14ac:dyDescent="0.25">
      <c r="A57" s="111" t="s">
        <v>553</v>
      </c>
      <c r="B57" s="109"/>
    </row>
    <row r="58" spans="1:19" x14ac:dyDescent="0.25">
      <c r="A58" s="111" t="s">
        <v>552</v>
      </c>
      <c r="B58" s="109"/>
      <c r="S58" t="s">
        <v>572</v>
      </c>
    </row>
    <row r="59" spans="1:19" x14ac:dyDescent="0.25">
      <c r="A59" s="111" t="s">
        <v>550</v>
      </c>
      <c r="B59" s="109"/>
    </row>
    <row r="60" spans="1:19" x14ac:dyDescent="0.25">
      <c r="A60" s="14"/>
      <c r="B60" s="14"/>
    </row>
    <row r="61" spans="1:19" ht="26.25" x14ac:dyDescent="0.25">
      <c r="A61" s="140" t="s">
        <v>571</v>
      </c>
      <c r="B61" s="79" t="s">
        <v>228</v>
      </c>
    </row>
    <row r="62" spans="1:19" x14ac:dyDescent="0.25">
      <c r="A62" s="111" t="s">
        <v>554</v>
      </c>
      <c r="B62" s="109"/>
    </row>
    <row r="63" spans="1:19" x14ac:dyDescent="0.25">
      <c r="A63" s="111" t="s">
        <v>553</v>
      </c>
      <c r="B63" s="109"/>
    </row>
    <row r="64" spans="1:19" x14ac:dyDescent="0.25">
      <c r="A64" s="111" t="s">
        <v>552</v>
      </c>
      <c r="B64" s="109"/>
    </row>
    <row r="65" spans="1:4" x14ac:dyDescent="0.25">
      <c r="A65" s="111" t="s">
        <v>550</v>
      </c>
      <c r="B65" s="109"/>
    </row>
    <row r="66" spans="1:4" x14ac:dyDescent="0.25">
      <c r="A66" s="14"/>
      <c r="B66" s="14"/>
    </row>
    <row r="67" spans="1:4" ht="26.25" x14ac:dyDescent="0.25">
      <c r="A67" s="140" t="s">
        <v>570</v>
      </c>
      <c r="B67" s="79" t="s">
        <v>228</v>
      </c>
    </row>
    <row r="68" spans="1:4" x14ac:dyDescent="0.25">
      <c r="A68" s="111" t="s">
        <v>554</v>
      </c>
      <c r="B68" s="109"/>
    </row>
    <row r="69" spans="1:4" x14ac:dyDescent="0.25">
      <c r="A69" s="111" t="s">
        <v>553</v>
      </c>
      <c r="B69" s="109"/>
    </row>
    <row r="70" spans="1:4" x14ac:dyDescent="0.25">
      <c r="A70" s="111" t="s">
        <v>552</v>
      </c>
      <c r="B70" s="109"/>
    </row>
    <row r="71" spans="1:4" x14ac:dyDescent="0.25">
      <c r="A71" s="111" t="s">
        <v>550</v>
      </c>
      <c r="B71" s="109"/>
    </row>
    <row r="72" spans="1:4" x14ac:dyDescent="0.25">
      <c r="A72" s="14"/>
      <c r="B72" s="14"/>
      <c r="D72" t="s">
        <v>568</v>
      </c>
    </row>
    <row r="73" spans="1:4" x14ac:dyDescent="0.25">
      <c r="A73" s="140" t="s">
        <v>569</v>
      </c>
      <c r="B73" s="79" t="s">
        <v>228</v>
      </c>
    </row>
    <row r="74" spans="1:4" x14ac:dyDescent="0.25">
      <c r="A74" s="176" t="s">
        <v>567</v>
      </c>
      <c r="B74" s="109"/>
    </row>
    <row r="75" spans="1:4" x14ac:dyDescent="0.25">
      <c r="A75" s="176" t="s">
        <v>566</v>
      </c>
      <c r="B75" s="109"/>
    </row>
    <row r="76" spans="1:4" x14ac:dyDescent="0.25">
      <c r="A76" s="176" t="s">
        <v>565</v>
      </c>
      <c r="B76" s="109"/>
    </row>
    <row r="77" spans="1:4" x14ac:dyDescent="0.25">
      <c r="A77" s="176" t="s">
        <v>564</v>
      </c>
      <c r="B77" s="109"/>
    </row>
    <row r="78" spans="1:4" x14ac:dyDescent="0.25">
      <c r="A78" s="176" t="s">
        <v>563</v>
      </c>
      <c r="B78" s="109"/>
    </row>
    <row r="79" spans="1:4" x14ac:dyDescent="0.25">
      <c r="A79" s="176" t="s">
        <v>562</v>
      </c>
      <c r="B79" s="109"/>
    </row>
    <row r="80" spans="1:4" x14ac:dyDescent="0.25">
      <c r="A80" s="14"/>
      <c r="B80" s="14"/>
    </row>
    <row r="81" spans="1:19" x14ac:dyDescent="0.25">
      <c r="A81" s="175" t="s">
        <v>561</v>
      </c>
      <c r="B81" s="14"/>
    </row>
    <row r="82" spans="1:19" x14ac:dyDescent="0.25">
      <c r="A82" s="14"/>
      <c r="B82" s="14"/>
    </row>
    <row r="83" spans="1:19" x14ac:dyDescent="0.25">
      <c r="A83" s="14"/>
      <c r="B83" s="14"/>
    </row>
    <row r="84" spans="1:19" x14ac:dyDescent="0.25">
      <c r="A84" s="14"/>
      <c r="B84" s="14"/>
    </row>
    <row r="85" spans="1:19" x14ac:dyDescent="0.25">
      <c r="A85" s="175" t="s">
        <v>560</v>
      </c>
      <c r="B85" s="14"/>
      <c r="D85" t="s">
        <v>613</v>
      </c>
      <c r="S85" t="s">
        <v>551</v>
      </c>
    </row>
    <row r="86" spans="1:19" x14ac:dyDescent="0.25">
      <c r="A86" s="14"/>
      <c r="B86" s="14"/>
    </row>
    <row r="87" spans="1:19" x14ac:dyDescent="0.25">
      <c r="A87" s="140" t="s">
        <v>559</v>
      </c>
      <c r="B87" s="79" t="s">
        <v>228</v>
      </c>
    </row>
    <row r="88" spans="1:19" x14ac:dyDescent="0.25">
      <c r="A88" s="111" t="s">
        <v>558</v>
      </c>
      <c r="B88" s="109"/>
    </row>
    <row r="89" spans="1:19" x14ac:dyDescent="0.25">
      <c r="A89" s="111" t="s">
        <v>557</v>
      </c>
      <c r="B89" s="109"/>
    </row>
    <row r="90" spans="1:19" x14ac:dyDescent="0.25">
      <c r="A90" s="111" t="s">
        <v>556</v>
      </c>
      <c r="B90" s="109"/>
    </row>
    <row r="91" spans="1:19" x14ac:dyDescent="0.25">
      <c r="A91" s="14"/>
      <c r="B91" s="14"/>
    </row>
    <row r="92" spans="1:19" x14ac:dyDescent="0.25">
      <c r="A92" s="140" t="s">
        <v>555</v>
      </c>
      <c r="B92" s="79" t="s">
        <v>228</v>
      </c>
    </row>
    <row r="93" spans="1:19" x14ac:dyDescent="0.25">
      <c r="A93" s="111" t="s">
        <v>554</v>
      </c>
      <c r="B93" s="109"/>
    </row>
    <row r="94" spans="1:19" x14ac:dyDescent="0.25">
      <c r="A94" s="111" t="s">
        <v>553</v>
      </c>
      <c r="B94" s="109"/>
    </row>
    <row r="95" spans="1:19" x14ac:dyDescent="0.25">
      <c r="A95" s="111" t="s">
        <v>552</v>
      </c>
      <c r="B95" s="109"/>
    </row>
    <row r="96" spans="1:19" x14ac:dyDescent="0.25">
      <c r="A96" s="111" t="s">
        <v>550</v>
      </c>
      <c r="B96" s="109"/>
    </row>
    <row r="97" spans="1:20" x14ac:dyDescent="0.25">
      <c r="A97" s="14"/>
      <c r="B97" s="14"/>
    </row>
    <row r="98" spans="1:20" x14ac:dyDescent="0.25">
      <c r="T98" t="s">
        <v>549</v>
      </c>
    </row>
  </sheetData>
  <pageMargins left="0.7" right="0.7" top="0.75" bottom="0.75" header="0.3" footer="0.3"/>
  <drawing r:id="rId1"/>
  <tableParts count="1">
    <tablePart r:id="rId2"/>
  </tableParts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95"/>
  <sheetViews>
    <sheetView zoomScale="70" zoomScaleNormal="70" workbookViewId="0">
      <selection activeCell="T17" sqref="T17"/>
    </sheetView>
  </sheetViews>
  <sheetFormatPr defaultColWidth="9.140625" defaultRowHeight="12.75" x14ac:dyDescent="0.25"/>
  <cols>
    <col min="1" max="1" width="31.42578125" style="17" customWidth="1"/>
    <col min="2" max="4" width="17.140625" style="17" customWidth="1"/>
    <col min="5" max="16384" width="9.140625" style="17"/>
  </cols>
  <sheetData>
    <row r="1" spans="1:4" ht="75" customHeight="1" thickBot="1" x14ac:dyDescent="0.3">
      <c r="A1" s="199" t="s">
        <v>161</v>
      </c>
      <c r="B1" s="196" t="s">
        <v>213</v>
      </c>
      <c r="C1" s="198"/>
      <c r="D1" s="199" t="s">
        <v>162</v>
      </c>
    </row>
    <row r="2" spans="1:4" ht="31.5" customHeight="1" thickBot="1" x14ac:dyDescent="0.3">
      <c r="A2" s="201"/>
      <c r="B2" s="37" t="s">
        <v>124</v>
      </c>
      <c r="C2" s="37" t="s">
        <v>228</v>
      </c>
      <c r="D2" s="201"/>
    </row>
    <row r="3" spans="1:4" ht="23.25" customHeight="1" thickBot="1" x14ac:dyDescent="0.3">
      <c r="A3" s="235" t="s">
        <v>110</v>
      </c>
      <c r="B3" s="235"/>
      <c r="C3" s="235"/>
      <c r="D3" s="235"/>
    </row>
    <row r="4" spans="1:4" ht="13.5" thickBot="1" x14ac:dyDescent="0.3">
      <c r="A4" s="29" t="s">
        <v>126</v>
      </c>
      <c r="B4" s="19">
        <f>SUM(B5:B12)</f>
        <v>81233.172999999995</v>
      </c>
      <c r="C4" s="19">
        <f>SUM(C5:C12)</f>
        <v>0</v>
      </c>
      <c r="D4" s="44">
        <f>(C4-B4)/B4</f>
        <v>-1</v>
      </c>
    </row>
    <row r="5" spans="1:4" ht="13.5" thickBot="1" x14ac:dyDescent="0.3">
      <c r="A5" s="32" t="s">
        <v>127</v>
      </c>
      <c r="B5" s="5">
        <v>0</v>
      </c>
      <c r="C5" s="5">
        <v>0</v>
      </c>
      <c r="D5" s="44" t="e">
        <f t="shared" ref="D5:D39" si="0">(C5-B5)/B5</f>
        <v>#DIV/0!</v>
      </c>
    </row>
    <row r="6" spans="1:4" ht="26.25" thickBot="1" x14ac:dyDescent="0.3">
      <c r="A6" s="32" t="s">
        <v>128</v>
      </c>
      <c r="B6" s="5">
        <v>27985.192999999999</v>
      </c>
      <c r="C6" s="5">
        <v>0</v>
      </c>
      <c r="D6" s="44">
        <f t="shared" si="0"/>
        <v>-1</v>
      </c>
    </row>
    <row r="7" spans="1:4" ht="26.25" thickBot="1" x14ac:dyDescent="0.3">
      <c r="A7" s="32" t="s">
        <v>129</v>
      </c>
      <c r="B7" s="5">
        <v>0</v>
      </c>
      <c r="C7" s="5">
        <v>0</v>
      </c>
      <c r="D7" s="44" t="e">
        <f t="shared" si="0"/>
        <v>#DIV/0!</v>
      </c>
    </row>
    <row r="8" spans="1:4" ht="39" thickBot="1" x14ac:dyDescent="0.3">
      <c r="A8" s="32" t="s">
        <v>130</v>
      </c>
      <c r="B8" s="5">
        <v>0</v>
      </c>
      <c r="C8" s="5">
        <v>0</v>
      </c>
      <c r="D8" s="44" t="e">
        <f t="shared" si="0"/>
        <v>#DIV/0!</v>
      </c>
    </row>
    <row r="9" spans="1:4" ht="26.25" thickBot="1" x14ac:dyDescent="0.3">
      <c r="A9" s="32" t="s">
        <v>131</v>
      </c>
      <c r="B9" s="5">
        <v>29855.98</v>
      </c>
      <c r="C9" s="5">
        <v>0</v>
      </c>
      <c r="D9" s="44">
        <f t="shared" si="0"/>
        <v>-1</v>
      </c>
    </row>
    <row r="10" spans="1:4" ht="13.5" thickBot="1" x14ac:dyDescent="0.3">
      <c r="A10" s="32" t="s">
        <v>132</v>
      </c>
      <c r="B10" s="5">
        <v>900</v>
      </c>
      <c r="C10" s="5">
        <v>0</v>
      </c>
      <c r="D10" s="44">
        <f t="shared" si="0"/>
        <v>-1</v>
      </c>
    </row>
    <row r="11" spans="1:4" ht="26.25" thickBot="1" x14ac:dyDescent="0.3">
      <c r="A11" s="32" t="s">
        <v>133</v>
      </c>
      <c r="B11" s="5">
        <v>22492</v>
      </c>
      <c r="C11" s="5">
        <v>0</v>
      </c>
      <c r="D11" s="44">
        <f t="shared" si="0"/>
        <v>-1</v>
      </c>
    </row>
    <row r="12" spans="1:4" ht="64.5" thickBot="1" x14ac:dyDescent="0.3">
      <c r="A12" s="32" t="s">
        <v>134</v>
      </c>
      <c r="B12" s="5">
        <v>0</v>
      </c>
      <c r="C12" s="5">
        <v>0</v>
      </c>
      <c r="D12" s="44" t="e">
        <f t="shared" si="0"/>
        <v>#DIV/0!</v>
      </c>
    </row>
    <row r="13" spans="1:4" ht="51.75" thickBot="1" x14ac:dyDescent="0.3">
      <c r="A13" s="29" t="s">
        <v>135</v>
      </c>
      <c r="B13" s="19">
        <f>SUM(B14:B20)</f>
        <v>346786.65529999998</v>
      </c>
      <c r="C13" s="19">
        <f>SUM(C14:C20)</f>
        <v>0</v>
      </c>
      <c r="D13" s="44">
        <f t="shared" si="0"/>
        <v>-1</v>
      </c>
    </row>
    <row r="14" spans="1:4" ht="77.25" thickBot="1" x14ac:dyDescent="0.3">
      <c r="A14" s="32" t="s">
        <v>136</v>
      </c>
      <c r="B14" s="5">
        <v>185251.9754</v>
      </c>
      <c r="C14" s="5">
        <v>0</v>
      </c>
      <c r="D14" s="44">
        <f t="shared" si="0"/>
        <v>-1</v>
      </c>
    </row>
    <row r="15" spans="1:4" ht="90" thickBot="1" x14ac:dyDescent="0.3">
      <c r="A15" s="32" t="s">
        <v>138</v>
      </c>
      <c r="B15" s="5">
        <v>0</v>
      </c>
      <c r="C15" s="5">
        <v>0</v>
      </c>
      <c r="D15" s="44" t="e">
        <f t="shared" si="0"/>
        <v>#DIV/0!</v>
      </c>
    </row>
    <row r="16" spans="1:4" ht="64.5" thickBot="1" x14ac:dyDescent="0.3">
      <c r="A16" s="32" t="s">
        <v>139</v>
      </c>
      <c r="B16" s="5">
        <v>47500</v>
      </c>
      <c r="C16" s="5">
        <v>0</v>
      </c>
      <c r="D16" s="44">
        <f t="shared" si="0"/>
        <v>-1</v>
      </c>
    </row>
    <row r="17" spans="1:4" ht="77.25" thickBot="1" x14ac:dyDescent="0.3">
      <c r="A17" s="32" t="s">
        <v>140</v>
      </c>
      <c r="B17" s="5">
        <v>0</v>
      </c>
      <c r="C17" s="5">
        <v>0</v>
      </c>
      <c r="D17" s="44" t="e">
        <f t="shared" si="0"/>
        <v>#DIV/0!</v>
      </c>
    </row>
    <row r="18" spans="1:4" ht="64.5" thickBot="1" x14ac:dyDescent="0.3">
      <c r="A18" s="32" t="s">
        <v>141</v>
      </c>
      <c r="B18" s="5">
        <v>0</v>
      </c>
      <c r="C18" s="5">
        <v>0</v>
      </c>
      <c r="D18" s="44" t="e">
        <f t="shared" si="0"/>
        <v>#DIV/0!</v>
      </c>
    </row>
    <row r="19" spans="1:4" ht="39" thickBot="1" x14ac:dyDescent="0.3">
      <c r="A19" s="32" t="s">
        <v>142</v>
      </c>
      <c r="B19" s="5">
        <v>0</v>
      </c>
      <c r="C19" s="5">
        <v>0</v>
      </c>
      <c r="D19" s="44" t="e">
        <f t="shared" si="0"/>
        <v>#DIV/0!</v>
      </c>
    </row>
    <row r="20" spans="1:4" ht="26.25" thickBot="1" x14ac:dyDescent="0.3">
      <c r="A20" s="32" t="s">
        <v>137</v>
      </c>
      <c r="B20" s="5">
        <v>114034.6799</v>
      </c>
      <c r="C20" s="5">
        <v>0</v>
      </c>
      <c r="D20" s="44">
        <f t="shared" si="0"/>
        <v>-1</v>
      </c>
    </row>
    <row r="21" spans="1:4" ht="26.25" thickBot="1" x14ac:dyDescent="0.3">
      <c r="A21" s="29" t="s">
        <v>143</v>
      </c>
      <c r="B21" s="19">
        <f>SUM(B22:B24)</f>
        <v>58034.976999999999</v>
      </c>
      <c r="C21" s="19">
        <f>SUM(C22:C24)</f>
        <v>0</v>
      </c>
      <c r="D21" s="44">
        <f t="shared" si="0"/>
        <v>-1</v>
      </c>
    </row>
    <row r="22" spans="1:4" ht="26.25" thickBot="1" x14ac:dyDescent="0.3">
      <c r="A22" s="32" t="s">
        <v>144</v>
      </c>
      <c r="B22" s="5">
        <v>0</v>
      </c>
      <c r="C22" s="5">
        <v>0</v>
      </c>
      <c r="D22" s="44" t="e">
        <f t="shared" si="0"/>
        <v>#DIV/0!</v>
      </c>
    </row>
    <row r="23" spans="1:4" ht="39" thickBot="1" x14ac:dyDescent="0.3">
      <c r="A23" s="32" t="s">
        <v>146</v>
      </c>
      <c r="B23" s="5">
        <v>58034.976999999999</v>
      </c>
      <c r="C23" s="5">
        <v>0</v>
      </c>
      <c r="D23" s="44">
        <f t="shared" si="0"/>
        <v>-1</v>
      </c>
    </row>
    <row r="24" spans="1:4" ht="26.25" thickBot="1" x14ac:dyDescent="0.3">
      <c r="A24" s="32" t="s">
        <v>145</v>
      </c>
      <c r="B24" s="5">
        <v>0</v>
      </c>
      <c r="C24" s="5">
        <v>0</v>
      </c>
      <c r="D24" s="44" t="e">
        <f t="shared" si="0"/>
        <v>#DIV/0!</v>
      </c>
    </row>
    <row r="25" spans="1:4" ht="26.25" thickBot="1" x14ac:dyDescent="0.3">
      <c r="A25" s="29" t="s">
        <v>147</v>
      </c>
      <c r="B25" s="19">
        <f>SUM(B26:B28)</f>
        <v>0</v>
      </c>
      <c r="C25" s="19">
        <f>SUM(C26:C28)</f>
        <v>0</v>
      </c>
      <c r="D25" s="44" t="e">
        <f t="shared" si="0"/>
        <v>#DIV/0!</v>
      </c>
    </row>
    <row r="26" spans="1:4" ht="51.75" thickBot="1" x14ac:dyDescent="0.3">
      <c r="A26" s="32" t="s">
        <v>149</v>
      </c>
      <c r="B26" s="5">
        <v>0</v>
      </c>
      <c r="C26" s="5">
        <v>0</v>
      </c>
      <c r="D26" s="44" t="e">
        <f t="shared" si="0"/>
        <v>#DIV/0!</v>
      </c>
    </row>
    <row r="27" spans="1:4" ht="64.5" thickBot="1" x14ac:dyDescent="0.3">
      <c r="A27" s="32" t="s">
        <v>150</v>
      </c>
      <c r="B27" s="5">
        <v>0</v>
      </c>
      <c r="C27" s="5">
        <v>0</v>
      </c>
      <c r="D27" s="44" t="e">
        <f t="shared" si="0"/>
        <v>#DIV/0!</v>
      </c>
    </row>
    <row r="28" spans="1:4" ht="26.25" thickBot="1" x14ac:dyDescent="0.3">
      <c r="A28" s="32" t="s">
        <v>148</v>
      </c>
      <c r="B28" s="5">
        <v>0</v>
      </c>
      <c r="C28" s="5">
        <v>0</v>
      </c>
      <c r="D28" s="44" t="e">
        <f t="shared" si="0"/>
        <v>#DIV/0!</v>
      </c>
    </row>
    <row r="29" spans="1:4" ht="26.25" thickBot="1" x14ac:dyDescent="0.3">
      <c r="A29" s="29" t="s">
        <v>151</v>
      </c>
      <c r="B29" s="19">
        <f>SUM(B30)</f>
        <v>110485.929</v>
      </c>
      <c r="C29" s="19">
        <f>SUM(C30)</f>
        <v>0</v>
      </c>
      <c r="D29" s="44">
        <f t="shared" si="0"/>
        <v>-1</v>
      </c>
    </row>
    <row r="30" spans="1:4" ht="102.75" thickBot="1" x14ac:dyDescent="0.3">
      <c r="A30" s="32" t="s">
        <v>152</v>
      </c>
      <c r="B30" s="5">
        <v>110485.929</v>
      </c>
      <c r="C30" s="5">
        <v>0</v>
      </c>
      <c r="D30" s="44">
        <f t="shared" si="0"/>
        <v>-1</v>
      </c>
    </row>
    <row r="31" spans="1:4" ht="64.5" thickBot="1" x14ac:dyDescent="0.3">
      <c r="A31" s="29" t="s">
        <v>153</v>
      </c>
      <c r="B31" s="19">
        <f>SUM(B32:B34)</f>
        <v>0</v>
      </c>
      <c r="C31" s="19">
        <f>SUM(C32:C34)</f>
        <v>0</v>
      </c>
      <c r="D31" s="44" t="e">
        <f t="shared" si="0"/>
        <v>#DIV/0!</v>
      </c>
    </row>
    <row r="32" spans="1:4" ht="128.25" thickBot="1" x14ac:dyDescent="0.3">
      <c r="A32" s="32" t="s">
        <v>154</v>
      </c>
      <c r="B32" s="5">
        <v>0</v>
      </c>
      <c r="C32" s="5">
        <v>0</v>
      </c>
      <c r="D32" s="44" t="e">
        <f t="shared" si="0"/>
        <v>#DIV/0!</v>
      </c>
    </row>
    <row r="33" spans="1:4" ht="141" thickBot="1" x14ac:dyDescent="0.3">
      <c r="A33" s="32" t="s">
        <v>155</v>
      </c>
      <c r="B33" s="5">
        <v>0</v>
      </c>
      <c r="C33" s="5">
        <v>0</v>
      </c>
      <c r="D33" s="44" t="e">
        <f t="shared" si="0"/>
        <v>#DIV/0!</v>
      </c>
    </row>
    <row r="34" spans="1:4" ht="64.5" thickBot="1" x14ac:dyDescent="0.3">
      <c r="A34" s="32" t="s">
        <v>156</v>
      </c>
      <c r="B34" s="5">
        <v>0</v>
      </c>
      <c r="C34" s="5">
        <v>0</v>
      </c>
      <c r="D34" s="44" t="e">
        <f t="shared" si="0"/>
        <v>#DIV/0!</v>
      </c>
    </row>
    <row r="35" spans="1:4" ht="39" thickBot="1" x14ac:dyDescent="0.3">
      <c r="A35" s="29" t="s">
        <v>157</v>
      </c>
      <c r="B35" s="19">
        <f>SUM(B36)</f>
        <v>0</v>
      </c>
      <c r="C35" s="19">
        <f>SUM(C36)</f>
        <v>0</v>
      </c>
      <c r="D35" s="44" t="e">
        <f t="shared" si="0"/>
        <v>#DIV/0!</v>
      </c>
    </row>
    <row r="36" spans="1:4" ht="77.25" thickBot="1" x14ac:dyDescent="0.3">
      <c r="A36" s="32" t="s">
        <v>158</v>
      </c>
      <c r="B36" s="5">
        <v>0</v>
      </c>
      <c r="C36" s="5">
        <v>0</v>
      </c>
      <c r="D36" s="44" t="e">
        <f t="shared" si="0"/>
        <v>#DIV/0!</v>
      </c>
    </row>
    <row r="37" spans="1:4" ht="13.5" thickBot="1" x14ac:dyDescent="0.3">
      <c r="A37" s="29" t="s">
        <v>159</v>
      </c>
      <c r="B37" s="19">
        <f>SUM(B38)</f>
        <v>0</v>
      </c>
      <c r="C37" s="19">
        <f>SUM(C38)</f>
        <v>0</v>
      </c>
      <c r="D37" s="44" t="e">
        <f t="shared" si="0"/>
        <v>#DIV/0!</v>
      </c>
    </row>
    <row r="38" spans="1:4" ht="26.25" thickBot="1" x14ac:dyDescent="0.3">
      <c r="A38" s="32" t="s">
        <v>160</v>
      </c>
      <c r="B38" s="5">
        <v>0</v>
      </c>
      <c r="C38" s="5">
        <v>0</v>
      </c>
      <c r="D38" s="44" t="e">
        <f t="shared" si="0"/>
        <v>#DIV/0!</v>
      </c>
    </row>
    <row r="39" spans="1:4" ht="27" customHeight="1" thickBot="1" x14ac:dyDescent="0.3">
      <c r="A39" s="30" t="s">
        <v>13</v>
      </c>
      <c r="B39" s="34">
        <f>SUM(B4,B13,B21,B25,B29,B31,B35,B37)</f>
        <v>596540.73430000001</v>
      </c>
      <c r="C39" s="34">
        <f>SUM(C4,C13,C21,C25,C29,C31,C35,C37)</f>
        <v>0</v>
      </c>
      <c r="D39" s="44">
        <f t="shared" si="0"/>
        <v>-1</v>
      </c>
    </row>
    <row r="40" spans="1:4" ht="26.25" customHeight="1" thickBot="1" x14ac:dyDescent="0.3">
      <c r="A40" s="235" t="s">
        <v>111</v>
      </c>
      <c r="B40" s="235"/>
      <c r="C40" s="235"/>
      <c r="D40" s="235"/>
    </row>
    <row r="41" spans="1:4" ht="13.5" thickBot="1" x14ac:dyDescent="0.3">
      <c r="A41" s="29" t="s">
        <v>163</v>
      </c>
      <c r="B41" s="19">
        <f>SUM(B42:B43)</f>
        <v>0</v>
      </c>
      <c r="C41" s="19">
        <f>SUM(C42:C43)</f>
        <v>0</v>
      </c>
      <c r="D41" s="44" t="e">
        <f t="shared" ref="D41:D87" si="1">(C41-B41)/B41</f>
        <v>#DIV/0!</v>
      </c>
    </row>
    <row r="42" spans="1:4" ht="13.5" thickBot="1" x14ac:dyDescent="0.3">
      <c r="A42" s="32" t="s">
        <v>164</v>
      </c>
      <c r="B42" s="5">
        <v>0</v>
      </c>
      <c r="C42" s="5">
        <v>0</v>
      </c>
      <c r="D42" s="44" t="e">
        <f t="shared" si="1"/>
        <v>#DIV/0!</v>
      </c>
    </row>
    <row r="43" spans="1:4" ht="13.5" thickBot="1" x14ac:dyDescent="0.3">
      <c r="A43" s="32" t="s">
        <v>165</v>
      </c>
      <c r="B43" s="5">
        <v>0</v>
      </c>
      <c r="C43" s="5">
        <v>0</v>
      </c>
      <c r="D43" s="44" t="e">
        <f t="shared" si="1"/>
        <v>#DIV/0!</v>
      </c>
    </row>
    <row r="44" spans="1:4" ht="13.5" thickBot="1" x14ac:dyDescent="0.3">
      <c r="A44" s="29" t="s">
        <v>166</v>
      </c>
      <c r="B44" s="19">
        <f>SUM(B45:B48)</f>
        <v>13845.704</v>
      </c>
      <c r="C44" s="19">
        <f>SUM(C45:C48)</f>
        <v>0</v>
      </c>
      <c r="D44" s="44">
        <f t="shared" ref="D44:D84" si="2">(C44-B44)/B44</f>
        <v>-1</v>
      </c>
    </row>
    <row r="45" spans="1:4" ht="13.5" thickBot="1" x14ac:dyDescent="0.3">
      <c r="A45" s="32" t="s">
        <v>167</v>
      </c>
      <c r="B45" s="5">
        <v>2252.91</v>
      </c>
      <c r="C45" s="5">
        <v>0</v>
      </c>
      <c r="D45" s="44">
        <f t="shared" si="1"/>
        <v>-1</v>
      </c>
    </row>
    <row r="46" spans="1:4" ht="26.25" thickBot="1" x14ac:dyDescent="0.3">
      <c r="A46" s="32" t="s">
        <v>168</v>
      </c>
      <c r="B46" s="5">
        <v>11592.794</v>
      </c>
      <c r="C46" s="5">
        <v>0</v>
      </c>
      <c r="D46" s="44">
        <f t="shared" si="1"/>
        <v>-1</v>
      </c>
    </row>
    <row r="47" spans="1:4" ht="13.5" thickBot="1" x14ac:dyDescent="0.3">
      <c r="A47" s="32" t="s">
        <v>169</v>
      </c>
      <c r="B47" s="5">
        <v>0</v>
      </c>
      <c r="C47" s="5">
        <v>0</v>
      </c>
      <c r="D47" s="44" t="e">
        <f t="shared" si="1"/>
        <v>#DIV/0!</v>
      </c>
    </row>
    <row r="48" spans="1:4" ht="39" thickBot="1" x14ac:dyDescent="0.3">
      <c r="A48" s="32" t="s">
        <v>188</v>
      </c>
      <c r="B48" s="5">
        <v>0</v>
      </c>
      <c r="C48" s="5">
        <v>0</v>
      </c>
      <c r="D48" s="44" t="e">
        <f t="shared" si="2"/>
        <v>#DIV/0!</v>
      </c>
    </row>
    <row r="49" spans="1:4" ht="26.25" thickBot="1" x14ac:dyDescent="0.3">
      <c r="A49" s="29" t="s">
        <v>170</v>
      </c>
      <c r="B49" s="19">
        <f>SUM(B50:B66)</f>
        <v>574730.8443</v>
      </c>
      <c r="C49" s="19">
        <f>SUM(C50:C66)</f>
        <v>0</v>
      </c>
      <c r="D49" s="44">
        <f t="shared" si="1"/>
        <v>-1</v>
      </c>
    </row>
    <row r="50" spans="1:4" ht="26.25" thickBot="1" x14ac:dyDescent="0.3">
      <c r="A50" s="32" t="s">
        <v>187</v>
      </c>
      <c r="B50" s="5">
        <v>136923.23300000001</v>
      </c>
      <c r="C50" s="5">
        <v>0</v>
      </c>
      <c r="D50" s="44">
        <f t="shared" si="1"/>
        <v>-1</v>
      </c>
    </row>
    <row r="51" spans="1:4" ht="26.25" thickBot="1" x14ac:dyDescent="0.3">
      <c r="A51" s="32" t="s">
        <v>186</v>
      </c>
      <c r="B51" s="5">
        <v>0</v>
      </c>
      <c r="C51" s="5">
        <v>0</v>
      </c>
      <c r="D51" s="44" t="e">
        <f t="shared" si="1"/>
        <v>#DIV/0!</v>
      </c>
    </row>
    <row r="52" spans="1:4" ht="13.5" thickBot="1" x14ac:dyDescent="0.3">
      <c r="A52" s="32" t="s">
        <v>171</v>
      </c>
      <c r="B52" s="5">
        <v>0</v>
      </c>
      <c r="C52" s="5">
        <v>0</v>
      </c>
      <c r="D52" s="44" t="e">
        <f t="shared" si="2"/>
        <v>#DIV/0!</v>
      </c>
    </row>
    <row r="53" spans="1:4" ht="13.5" thickBot="1" x14ac:dyDescent="0.3">
      <c r="A53" s="32" t="s">
        <v>172</v>
      </c>
      <c r="B53" s="5">
        <v>3667.8</v>
      </c>
      <c r="C53" s="5">
        <v>0</v>
      </c>
      <c r="D53" s="44">
        <f t="shared" si="1"/>
        <v>-1</v>
      </c>
    </row>
    <row r="54" spans="1:4" ht="13.5" thickBot="1" x14ac:dyDescent="0.3">
      <c r="A54" s="32" t="s">
        <v>173</v>
      </c>
      <c r="B54" s="5">
        <v>0</v>
      </c>
      <c r="C54" s="5">
        <v>0</v>
      </c>
      <c r="D54" s="44" t="e">
        <f t="shared" si="1"/>
        <v>#DIV/0!</v>
      </c>
    </row>
    <row r="55" spans="1:4" ht="13.5" thickBot="1" x14ac:dyDescent="0.3">
      <c r="A55" s="32" t="s">
        <v>174</v>
      </c>
      <c r="B55" s="5">
        <v>0</v>
      </c>
      <c r="C55" s="5">
        <v>0</v>
      </c>
      <c r="D55" s="44" t="e">
        <f t="shared" si="1"/>
        <v>#DIV/0!</v>
      </c>
    </row>
    <row r="56" spans="1:4" ht="13.5" thickBot="1" x14ac:dyDescent="0.3">
      <c r="A56" s="32" t="s">
        <v>175</v>
      </c>
      <c r="B56" s="5">
        <v>16412</v>
      </c>
      <c r="C56" s="5">
        <v>0</v>
      </c>
      <c r="D56" s="44">
        <f t="shared" si="2"/>
        <v>-1</v>
      </c>
    </row>
    <row r="57" spans="1:4" ht="13.5" thickBot="1" x14ac:dyDescent="0.3">
      <c r="A57" s="32" t="s">
        <v>176</v>
      </c>
      <c r="B57" s="5">
        <v>26281.823</v>
      </c>
      <c r="C57" s="5">
        <v>0</v>
      </c>
      <c r="D57" s="44">
        <f t="shared" si="1"/>
        <v>-1</v>
      </c>
    </row>
    <row r="58" spans="1:4" ht="13.5" thickBot="1" x14ac:dyDescent="0.3">
      <c r="A58" s="32" t="s">
        <v>177</v>
      </c>
      <c r="B58" s="5">
        <v>0</v>
      </c>
      <c r="C58" s="5">
        <v>0</v>
      </c>
      <c r="D58" s="44" t="e">
        <f t="shared" si="1"/>
        <v>#DIV/0!</v>
      </c>
    </row>
    <row r="59" spans="1:4" ht="26.25" thickBot="1" x14ac:dyDescent="0.3">
      <c r="A59" s="32" t="s">
        <v>178</v>
      </c>
      <c r="B59" s="5">
        <v>0</v>
      </c>
      <c r="C59" s="5">
        <v>0</v>
      </c>
      <c r="D59" s="44" t="e">
        <f t="shared" si="1"/>
        <v>#DIV/0!</v>
      </c>
    </row>
    <row r="60" spans="1:4" ht="26.25" thickBot="1" x14ac:dyDescent="0.3">
      <c r="A60" s="32" t="s">
        <v>179</v>
      </c>
      <c r="B60" s="5">
        <v>0</v>
      </c>
      <c r="C60" s="5">
        <v>0</v>
      </c>
      <c r="D60" s="44" t="e">
        <f t="shared" si="2"/>
        <v>#DIV/0!</v>
      </c>
    </row>
    <row r="61" spans="1:4" ht="13.5" thickBot="1" x14ac:dyDescent="0.3">
      <c r="A61" s="32" t="s">
        <v>180</v>
      </c>
      <c r="B61" s="5">
        <v>0</v>
      </c>
      <c r="C61" s="5">
        <v>0</v>
      </c>
      <c r="D61" s="44" t="e">
        <f t="shared" si="1"/>
        <v>#DIV/0!</v>
      </c>
    </row>
    <row r="62" spans="1:4" ht="13.5" thickBot="1" x14ac:dyDescent="0.3">
      <c r="A62" s="32" t="s">
        <v>181</v>
      </c>
      <c r="B62" s="5">
        <v>0</v>
      </c>
      <c r="C62" s="5">
        <v>0</v>
      </c>
      <c r="D62" s="44" t="e">
        <f t="shared" si="1"/>
        <v>#DIV/0!</v>
      </c>
    </row>
    <row r="63" spans="1:4" ht="13.5" thickBot="1" x14ac:dyDescent="0.3">
      <c r="A63" s="32" t="s">
        <v>182</v>
      </c>
      <c r="B63" s="5">
        <v>98700</v>
      </c>
      <c r="C63" s="5">
        <v>0</v>
      </c>
      <c r="D63" s="44">
        <f t="shared" si="1"/>
        <v>-1</v>
      </c>
    </row>
    <row r="64" spans="1:4" ht="13.5" thickBot="1" x14ac:dyDescent="0.3">
      <c r="A64" s="32" t="s">
        <v>183</v>
      </c>
      <c r="B64" s="5">
        <v>36581.300000000003</v>
      </c>
      <c r="C64" s="5">
        <v>0</v>
      </c>
      <c r="D64" s="44">
        <f t="shared" si="2"/>
        <v>-1</v>
      </c>
    </row>
    <row r="65" spans="1:4" ht="13.5" thickBot="1" x14ac:dyDescent="0.3">
      <c r="A65" s="32" t="s">
        <v>184</v>
      </c>
      <c r="B65" s="5">
        <v>0</v>
      </c>
      <c r="C65" s="5">
        <v>0</v>
      </c>
      <c r="D65" s="44" t="e">
        <f t="shared" si="1"/>
        <v>#DIV/0!</v>
      </c>
    </row>
    <row r="66" spans="1:4" ht="26.25" thickBot="1" x14ac:dyDescent="0.3">
      <c r="A66" s="32" t="s">
        <v>185</v>
      </c>
      <c r="B66" s="5">
        <v>256164.68830000001</v>
      </c>
      <c r="C66" s="5">
        <v>0</v>
      </c>
      <c r="D66" s="44">
        <f t="shared" si="1"/>
        <v>-1</v>
      </c>
    </row>
    <row r="67" spans="1:4" ht="26.25" thickBot="1" x14ac:dyDescent="0.3">
      <c r="A67" s="29" t="s">
        <v>189</v>
      </c>
      <c r="B67" s="19">
        <f>SUM(B68:B71)</f>
        <v>0</v>
      </c>
      <c r="C67" s="19">
        <f>SUM(C68:C71)</f>
        <v>0</v>
      </c>
      <c r="D67" s="44" t="e">
        <f t="shared" si="1"/>
        <v>#DIV/0!</v>
      </c>
    </row>
    <row r="68" spans="1:4" ht="13.5" thickBot="1" x14ac:dyDescent="0.3">
      <c r="A68" s="32" t="s">
        <v>190</v>
      </c>
      <c r="B68" s="5">
        <v>0</v>
      </c>
      <c r="C68" s="5">
        <v>0</v>
      </c>
      <c r="D68" s="44" t="e">
        <f t="shared" si="2"/>
        <v>#DIV/0!</v>
      </c>
    </row>
    <row r="69" spans="1:4" ht="26.25" thickBot="1" x14ac:dyDescent="0.3">
      <c r="A69" s="32" t="s">
        <v>191</v>
      </c>
      <c r="B69" s="5">
        <v>0</v>
      </c>
      <c r="C69" s="5">
        <v>0</v>
      </c>
      <c r="D69" s="44" t="e">
        <f t="shared" si="1"/>
        <v>#DIV/0!</v>
      </c>
    </row>
    <row r="70" spans="1:4" ht="13.5" thickBot="1" x14ac:dyDescent="0.3">
      <c r="A70" s="32" t="s">
        <v>192</v>
      </c>
      <c r="B70" s="5">
        <v>0</v>
      </c>
      <c r="C70" s="5">
        <v>0</v>
      </c>
      <c r="D70" s="44" t="e">
        <f t="shared" si="1"/>
        <v>#DIV/0!</v>
      </c>
    </row>
    <row r="71" spans="1:4" ht="13.5" thickBot="1" x14ac:dyDescent="0.3">
      <c r="A71" s="32" t="s">
        <v>193</v>
      </c>
      <c r="B71" s="5">
        <v>0</v>
      </c>
      <c r="C71" s="5">
        <v>0</v>
      </c>
      <c r="D71" s="44" t="e">
        <f t="shared" si="1"/>
        <v>#DIV/0!</v>
      </c>
    </row>
    <row r="72" spans="1:4" ht="26.25" thickBot="1" x14ac:dyDescent="0.3">
      <c r="A72" s="29" t="s">
        <v>194</v>
      </c>
      <c r="B72" s="19">
        <f>SUM(B73:B78)</f>
        <v>5610955.5060000001</v>
      </c>
      <c r="C72" s="19">
        <f>SUM(C73:C78)</f>
        <v>0</v>
      </c>
      <c r="D72" s="44">
        <f t="shared" si="2"/>
        <v>-1</v>
      </c>
    </row>
    <row r="73" spans="1:4" ht="39" thickBot="1" x14ac:dyDescent="0.3">
      <c r="A73" s="32" t="s">
        <v>200</v>
      </c>
      <c r="B73" s="5">
        <v>5610955.5060000001</v>
      </c>
      <c r="C73" s="5">
        <v>0</v>
      </c>
      <c r="D73" s="44">
        <f t="shared" si="1"/>
        <v>-1</v>
      </c>
    </row>
    <row r="74" spans="1:4" ht="26.25" thickBot="1" x14ac:dyDescent="0.3">
      <c r="A74" s="32" t="s">
        <v>195</v>
      </c>
      <c r="B74" s="5">
        <v>0</v>
      </c>
      <c r="C74" s="5">
        <v>0</v>
      </c>
      <c r="D74" s="44" t="e">
        <f t="shared" si="1"/>
        <v>#DIV/0!</v>
      </c>
    </row>
    <row r="75" spans="1:4" ht="13.5" thickBot="1" x14ac:dyDescent="0.3">
      <c r="A75" s="32" t="s">
        <v>196</v>
      </c>
      <c r="B75" s="5">
        <v>0</v>
      </c>
      <c r="C75" s="5">
        <v>0</v>
      </c>
      <c r="D75" s="44" t="e">
        <f t="shared" si="1"/>
        <v>#DIV/0!</v>
      </c>
    </row>
    <row r="76" spans="1:4" ht="13.5" thickBot="1" x14ac:dyDescent="0.3">
      <c r="A76" s="32" t="s">
        <v>197</v>
      </c>
      <c r="B76" s="5">
        <v>0</v>
      </c>
      <c r="C76" s="5">
        <v>0</v>
      </c>
      <c r="D76" s="44" t="e">
        <f t="shared" si="2"/>
        <v>#DIV/0!</v>
      </c>
    </row>
    <row r="77" spans="1:4" ht="13.5" thickBot="1" x14ac:dyDescent="0.3">
      <c r="A77" s="32" t="s">
        <v>198</v>
      </c>
      <c r="B77" s="5">
        <v>0</v>
      </c>
      <c r="C77" s="5">
        <v>0</v>
      </c>
      <c r="D77" s="44" t="e">
        <f t="shared" si="1"/>
        <v>#DIV/0!</v>
      </c>
    </row>
    <row r="78" spans="1:4" ht="13.5" thickBot="1" x14ac:dyDescent="0.3">
      <c r="A78" s="32" t="s">
        <v>199</v>
      </c>
      <c r="B78" s="5">
        <v>0</v>
      </c>
      <c r="C78" s="5">
        <v>0</v>
      </c>
      <c r="D78" s="44" t="e">
        <f t="shared" si="1"/>
        <v>#DIV/0!</v>
      </c>
    </row>
    <row r="79" spans="1:4" ht="13.5" thickBot="1" x14ac:dyDescent="0.3">
      <c r="A79" s="29" t="s">
        <v>201</v>
      </c>
      <c r="B79" s="19">
        <f>SUM(B80:B81)</f>
        <v>926368.93660000002</v>
      </c>
      <c r="C79" s="19">
        <f>SUM(C80:C81)</f>
        <v>0</v>
      </c>
      <c r="D79" s="44">
        <f t="shared" si="1"/>
        <v>-1</v>
      </c>
    </row>
    <row r="80" spans="1:4" ht="26.25" thickBot="1" x14ac:dyDescent="0.3">
      <c r="A80" s="32" t="s">
        <v>203</v>
      </c>
      <c r="B80" s="5">
        <v>926368.93660000002</v>
      </c>
      <c r="C80" s="5">
        <v>0</v>
      </c>
      <c r="D80" s="44">
        <f t="shared" si="2"/>
        <v>-1</v>
      </c>
    </row>
    <row r="81" spans="1:5" ht="13.5" thickBot="1" x14ac:dyDescent="0.3">
      <c r="A81" s="32" t="s">
        <v>202</v>
      </c>
      <c r="B81" s="5">
        <v>0</v>
      </c>
      <c r="C81" s="5">
        <v>0</v>
      </c>
      <c r="D81" s="44" t="e">
        <f t="shared" si="1"/>
        <v>#DIV/0!</v>
      </c>
    </row>
    <row r="82" spans="1:5" ht="13.5" thickBot="1" x14ac:dyDescent="0.3">
      <c r="A82" s="29" t="s">
        <v>204</v>
      </c>
      <c r="B82" s="19">
        <f>SUM(B83:B86)</f>
        <v>0</v>
      </c>
      <c r="C82" s="19">
        <f>SUM(C83:C86)</f>
        <v>0</v>
      </c>
      <c r="D82" s="44" t="e">
        <f t="shared" si="1"/>
        <v>#DIV/0!</v>
      </c>
    </row>
    <row r="83" spans="1:5" ht="26.25" customHeight="1" thickBot="1" x14ac:dyDescent="0.3">
      <c r="A83" s="32" t="s">
        <v>205</v>
      </c>
      <c r="B83" s="5">
        <v>0</v>
      </c>
      <c r="C83" s="5">
        <v>0</v>
      </c>
      <c r="D83" s="44" t="e">
        <f t="shared" si="1"/>
        <v>#DIV/0!</v>
      </c>
    </row>
    <row r="84" spans="1:5" ht="51.75" thickBot="1" x14ac:dyDescent="0.3">
      <c r="A84" s="32" t="s">
        <v>206</v>
      </c>
      <c r="B84" s="5">
        <v>0</v>
      </c>
      <c r="C84" s="5">
        <v>0</v>
      </c>
      <c r="D84" s="44" t="e">
        <f t="shared" si="2"/>
        <v>#DIV/0!</v>
      </c>
    </row>
    <row r="85" spans="1:5" ht="26.25" customHeight="1" thickBot="1" x14ac:dyDescent="0.3">
      <c r="A85" s="32" t="s">
        <v>207</v>
      </c>
      <c r="B85" s="5">
        <v>0</v>
      </c>
      <c r="C85" s="5">
        <v>0</v>
      </c>
      <c r="D85" s="44" t="e">
        <f t="shared" si="1"/>
        <v>#DIV/0!</v>
      </c>
    </row>
    <row r="86" spans="1:5" ht="26.25" customHeight="1" thickBot="1" x14ac:dyDescent="0.3">
      <c r="A86" s="32" t="s">
        <v>208</v>
      </c>
      <c r="B86" s="5">
        <v>0</v>
      </c>
      <c r="C86" s="5">
        <v>0</v>
      </c>
      <c r="D86" s="44" t="e">
        <f t="shared" si="1"/>
        <v>#DIV/0!</v>
      </c>
    </row>
    <row r="87" spans="1:5" ht="30" customHeight="1" thickBot="1" x14ac:dyDescent="0.3">
      <c r="A87" s="30" t="s">
        <v>13</v>
      </c>
      <c r="B87" s="34">
        <f>SUM(B41,B44,B49,B67,B72,B79,B82)</f>
        <v>7125900.9908999996</v>
      </c>
      <c r="C87" s="34">
        <f>SUM(C41,C44,C49,C67,C72,C79,C82)</f>
        <v>0</v>
      </c>
      <c r="D87" s="44">
        <f t="shared" si="1"/>
        <v>-1</v>
      </c>
    </row>
    <row r="88" spans="1:5" ht="28.5" customHeight="1" thickBot="1" x14ac:dyDescent="0.3">
      <c r="A88" s="235" t="s">
        <v>212</v>
      </c>
      <c r="B88" s="235"/>
      <c r="C88" s="235"/>
      <c r="D88" s="235"/>
    </row>
    <row r="89" spans="1:5" s="14" customFormat="1" ht="26.25" customHeight="1" thickBot="1" x14ac:dyDescent="0.25">
      <c r="A89" s="29" t="s">
        <v>211</v>
      </c>
      <c r="B89" s="5">
        <v>293.26249999999999</v>
      </c>
      <c r="C89" s="5">
        <v>0</v>
      </c>
      <c r="D89" s="44">
        <f>(C89-B89)/B89</f>
        <v>-1</v>
      </c>
    </row>
    <row r="90" spans="1:5" s="14" customFormat="1" ht="13.5" thickBot="1" x14ac:dyDescent="0.25">
      <c r="A90" s="29" t="s">
        <v>209</v>
      </c>
      <c r="B90" s="5">
        <v>105659.7452</v>
      </c>
      <c r="C90" s="5">
        <v>0</v>
      </c>
      <c r="D90" s="44">
        <f t="shared" ref="D90:D91" si="3">(C90-B90)/B90</f>
        <v>-1</v>
      </c>
    </row>
    <row r="91" spans="1:5" s="14" customFormat="1" ht="13.5" thickBot="1" x14ac:dyDescent="0.25">
      <c r="A91" s="29" t="s">
        <v>210</v>
      </c>
      <c r="B91" s="5">
        <v>0</v>
      </c>
      <c r="C91" s="5">
        <v>0</v>
      </c>
      <c r="D91" s="44" t="e">
        <f t="shared" si="3"/>
        <v>#DIV/0!</v>
      </c>
    </row>
    <row r="92" spans="1:5" s="14" customFormat="1" ht="26.25" customHeight="1" thickBot="1" x14ac:dyDescent="0.25">
      <c r="A92" s="30" t="s">
        <v>13</v>
      </c>
      <c r="B92" s="34">
        <f>SUM(B89:B91)</f>
        <v>105953.0077</v>
      </c>
      <c r="C92" s="34">
        <f>SUM(C89:C91)</f>
        <v>0</v>
      </c>
      <c r="D92" s="45">
        <f t="shared" ref="D92:D93" si="4">(C92-B92)/B92</f>
        <v>-1</v>
      </c>
      <c r="E92" s="35"/>
    </row>
    <row r="93" spans="1:5" ht="28.5" customHeight="1" thickBot="1" x14ac:dyDescent="0.3">
      <c r="A93" s="31" t="s">
        <v>112</v>
      </c>
      <c r="B93" s="28">
        <f>SUM(B92+B39+B87)</f>
        <v>7828394.7328999992</v>
      </c>
      <c r="C93" s="28">
        <f>SUM(C39,C87,C92)</f>
        <v>0</v>
      </c>
      <c r="D93" s="46">
        <f t="shared" si="4"/>
        <v>-1</v>
      </c>
      <c r="E93" s="36" t="s">
        <v>230</v>
      </c>
    </row>
    <row r="95" spans="1:5" ht="42" customHeight="1" x14ac:dyDescent="0.25">
      <c r="A95" s="207" t="s">
        <v>222</v>
      </c>
      <c r="B95" s="207"/>
      <c r="C95" s="207"/>
      <c r="D95" s="207"/>
    </row>
  </sheetData>
  <mergeCells count="7">
    <mergeCell ref="A95:D95"/>
    <mergeCell ref="A3:D3"/>
    <mergeCell ref="A40:D40"/>
    <mergeCell ref="A88:D88"/>
    <mergeCell ref="D1:D2"/>
    <mergeCell ref="B1:C1"/>
    <mergeCell ref="A1:A2"/>
  </mergeCells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�� 17>@ 2548B5  745AL  >?8A0=85  >17>@0 !;>9 $545@0;L=K9  >:@C3   >AA89A:>9  $545@0F88 80?07>= $545@0;L=K9  >:@C3   >AA89A:>9  $545@0F88 80?07>= 80?07>= $545@0;L=K9  >:@C3   >AA89A:>9  $545@0F88 80?07>= $545@0;L=K9  >:@C3   >AA89A:>9  $545@0F88 80?07>= 80?07>= $545@0;L=K9  >:@C3   >AA89A:>9  $545@0F88 80?07>= $545@0;L=K9  >:@C3   >AA89A:>9  $545@0F88 80?07>= 80?07>= $545@0;L=K9  >:@C3   >AA89A:>9  $545@0F88 80?07>= $545@0;L=K9  >:@C3   >AA89A:>9  $545@0F88 80?07>= 80?07>= $545@0;L=K9  >:@C3   >AA89A:>9  $545@0F88 80?07>= $545@0;L=K9  >:@C3   >AA89A:>9  $545@0F88 80?07>= 80?07>= !;>9 $545@0;L=K9  >:@C3   >AA89A:>9  $545@0F88 80?07>= $545@0;L=K9  >:@C3   >AA89A:>9  $545@0F88 80?07>= 80?07>= $545@0;L=K9  >:@C3   >AA89A:>9  $545@0F88 80?07>= $545@0;L=K9  >:@C3   >AA89A:>9  $545@0F88 80?07>= 80?07>= A5 80?07>= A5 80?07>= 80?07>= A5 80?07>= A5 80?07>= 80?07>= !;>9 !;>9 $545@0;L=K9  >:@C3   >AA89A:>9  $545@0F88 80?07>= $545@0;L=K9  >:@C3   >AA89A:>9  $545@0F88 80?07>= 80?07>= $545@0;L=K9  >:@C3   >AA89A:>9  $545@0F88 80?07>= $545@0;L=K9  >:@C3   >AA89A:>9  $545@0F88 80?07>= 80?07>= 
</file>

<file path=customXml/item2.xml>�� 
</file>

<file path=customXml/item3.xml>�� 17>@ 2548B5  745AL  >?8A0=85  >17>@0 
</file>

<file path=customXml/item4.xml>�� 
</file>

<file path=customXml/itemProps1.xml><?xml version="1.0" encoding="utf-8"?>
<ds:datastoreItem xmlns:ds="http://schemas.openxmlformats.org/officeDocument/2006/customXml" ds:itemID="{4BCA57EF-8647-4E94-AEE6-07D721356BC7}">
  <ds:schemaRefs>
    <ds:schemaRef ds:uri="http://www.w3.org/2001/XMLSchema"/>
    <ds:schemaRef ds:uri="http://microsoft.data.visualization.engine.tours/1.0"/>
  </ds:schemaRefs>
</ds:datastoreItem>
</file>

<file path=customXml/itemProps2.xml><?xml version="1.0" encoding="utf-8"?>
<ds:datastoreItem xmlns:ds="http://schemas.openxmlformats.org/officeDocument/2006/customXml" ds:itemID="{298B682D-3DE0-4774-B5D9-520AC848B2EB}">
  <ds:schemaRefs>
    <ds:schemaRef ds:uri="http://www.w3.org/2001/XMLSchema"/>
    <ds:schemaRef ds:uri="http://microsoft.data.visualization.Client.Excel.PState/1.0"/>
  </ds:schemaRefs>
</ds:datastoreItem>
</file>

<file path=customXml/itemProps3.xml><?xml version="1.0" encoding="utf-8"?>
<ds:datastoreItem xmlns:ds="http://schemas.openxmlformats.org/officeDocument/2006/customXml" ds:itemID="{8BD0A6DA-93E5-4C5B-860B-12AF05C24B22}">
  <ds:schemaRefs>
    <ds:schemaRef ds:uri="http://www.w3.org/2001/XMLSchema"/>
    <ds:schemaRef ds:uri="http://microsoft.data.visualization.Client.Excel/1.0"/>
  </ds:schemaRefs>
</ds:datastoreItem>
</file>

<file path=customXml/itemProps4.xml><?xml version="1.0" encoding="utf-8"?>
<ds:datastoreItem xmlns:ds="http://schemas.openxmlformats.org/officeDocument/2006/customXml" ds:itemID="{A35FF3DF-3B0A-4F8D-BCA7-D5B1B4929F92}">
  <ds:schemaRefs>
    <ds:schemaRef ds:uri="http://www.w3.org/2001/XMLSchema"/>
    <ds:schemaRef ds:uri="http://microsoft.data.visualization.Client.Excel.LState/1.0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38</vt:i4>
      </vt:variant>
    </vt:vector>
  </HeadingPairs>
  <TitlesOfParts>
    <vt:vector size="38" baseType="lpstr">
      <vt:lpstr>Таблица 1.1+ общее</vt:lpstr>
      <vt:lpstr>1.1 оперативные показатели</vt:lpstr>
      <vt:lpstr>1.2 Пожары</vt:lpstr>
      <vt:lpstr>1.3 Водные объекты</vt:lpstr>
      <vt:lpstr>1.4 дтп </vt:lpstr>
      <vt:lpstr>1.5 ЧС техноген</vt:lpstr>
      <vt:lpstr>1.6 ЧС техноген ФО</vt:lpstr>
      <vt:lpstr>1.7 ЧС природные</vt:lpstr>
      <vt:lpstr>1.8 ЧС природ ФО</vt:lpstr>
      <vt:lpstr>1.9 Биолог</vt:lpstr>
      <vt:lpstr>1.10 Заболевания людей</vt:lpstr>
      <vt:lpstr>Таблица 1.3+</vt:lpstr>
      <vt:lpstr>1,3 разделенная</vt:lpstr>
      <vt:lpstr>1.11 Эпизоотии</vt:lpstr>
      <vt:lpstr>1.12 Эпифитотии</vt:lpstr>
      <vt:lpstr>1.13 ЦУКС</vt:lpstr>
      <vt:lpstr>1.14 (1) СМИ </vt:lpstr>
      <vt:lpstr>1.14 (2) Обращения</vt:lpstr>
      <vt:lpstr>1.15 ПАСФ</vt:lpstr>
      <vt:lpstr>1.16 СВФ</vt:lpstr>
      <vt:lpstr>1.17 РПП</vt:lpstr>
      <vt:lpstr>1.18 ВГCЧ</vt:lpstr>
      <vt:lpstr>1.19 ПфВЧ</vt:lpstr>
      <vt:lpstr>1.20 СПО ФПС</vt:lpstr>
      <vt:lpstr>1.21 Психологи</vt:lpstr>
      <vt:lpstr>1.22 ДПО</vt:lpstr>
      <vt:lpstr>1.23 Надзор ЗНТЧС </vt:lpstr>
      <vt:lpstr>1.24 ГПН</vt:lpstr>
      <vt:lpstr>1.25 Лецензирование</vt:lpstr>
      <vt:lpstr>1.26 ГИМС</vt:lpstr>
      <vt:lpstr>1.27 ЧГР</vt:lpstr>
      <vt:lpstr>1.28 ГП ДНР ЛНР ХО ЗО</vt:lpstr>
      <vt:lpstr>1.29 авиац-е обесп-е</vt:lpstr>
      <vt:lpstr>1.30 БАС</vt:lpstr>
      <vt:lpstr>1.31 Показатель Риск</vt:lpstr>
      <vt:lpstr>1.32 Показатель ЗН от ЧС</vt:lpstr>
      <vt:lpstr>1.33 Сведения по ПОО</vt:lpstr>
      <vt:lpstr>Таблица 1.4+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Даниил Александрович Привалов</dc:creator>
  <cp:lastModifiedBy>*Заместитель начальник отдела - Бычков А. В.</cp:lastModifiedBy>
  <cp:lastPrinted>2022-10-01T13:43:12Z</cp:lastPrinted>
  <dcterms:created xsi:type="dcterms:W3CDTF">2015-06-05T18:19:34Z</dcterms:created>
  <dcterms:modified xsi:type="dcterms:W3CDTF">2023-11-09T13:33:34Z</dcterms:modified>
</cp:coreProperties>
</file>